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ЛАНИРОВАНИЕ\2025-2027\ПРОЕКТ_Бюджет района 2025-2027\Доки к 2025-2027\"/>
    </mc:Choice>
  </mc:AlternateContent>
  <bookViews>
    <workbookView xWindow="75" yWindow="0" windowWidth="14325" windowHeight="12810"/>
  </bookViews>
  <sheets>
    <sheet name="свод" sheetId="4" r:id="rId1"/>
    <sheet name="район" sheetId="12" r:id="rId2"/>
    <sheet name="601" sheetId="5" r:id="rId3"/>
    <sheet name="602" sheetId="3" r:id="rId4"/>
    <sheet name="603" sheetId="6" r:id="rId5"/>
    <sheet name="604" sheetId="7" r:id="rId6"/>
    <sheet name="605" sheetId="8" r:id="rId7"/>
    <sheet name="606" sheetId="9" r:id="rId8"/>
    <sheet name="607" sheetId="10" r:id="rId9"/>
    <sheet name="608" sheetId="11" r:id="rId10"/>
  </sheets>
  <definedNames>
    <definedName name="_xlnm.Print_Area" localSheetId="3">'602'!$A$1:$E$78</definedName>
  </definedNames>
  <calcPr calcId="152511"/>
</workbook>
</file>

<file path=xl/calcChain.xml><?xml version="1.0" encoding="utf-8"?>
<calcChain xmlns="http://schemas.openxmlformats.org/spreadsheetml/2006/main">
  <c r="E51" i="12" l="1"/>
  <c r="E52" i="12"/>
  <c r="E62" i="12"/>
  <c r="D62" i="12"/>
  <c r="D55" i="12"/>
  <c r="D62" i="4"/>
  <c r="E48" i="12"/>
  <c r="D52" i="12"/>
  <c r="C51" i="12"/>
  <c r="C48" i="12"/>
  <c r="C55" i="12"/>
  <c r="C54" i="12"/>
  <c r="D54" i="12"/>
  <c r="E54" i="12"/>
  <c r="E55" i="12"/>
  <c r="D51" i="12" l="1"/>
  <c r="E51" i="4"/>
  <c r="D52" i="4"/>
  <c r="E48" i="4"/>
  <c r="E49" i="4"/>
  <c r="E50" i="4"/>
  <c r="E52" i="4"/>
  <c r="E53" i="4"/>
  <c r="E54" i="4"/>
  <c r="E55" i="4"/>
  <c r="E56" i="4"/>
  <c r="E57" i="4"/>
  <c r="E58" i="4"/>
  <c r="E59" i="4"/>
  <c r="E60" i="4"/>
  <c r="E61" i="4"/>
  <c r="D48" i="4"/>
  <c r="D49" i="4"/>
  <c r="D50" i="4"/>
  <c r="D51" i="4"/>
  <c r="D53" i="4"/>
  <c r="D54" i="4"/>
  <c r="D55" i="4"/>
  <c r="D56" i="4"/>
  <c r="D57" i="4"/>
  <c r="D58" i="4"/>
  <c r="D59" i="4"/>
  <c r="D60" i="4"/>
  <c r="D61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48" i="4"/>
  <c r="E126" i="9"/>
  <c r="D126" i="9"/>
  <c r="E123" i="9"/>
  <c r="D123" i="9"/>
  <c r="C123" i="9"/>
  <c r="E121" i="9"/>
  <c r="D121" i="9"/>
  <c r="C121" i="9"/>
  <c r="E120" i="9"/>
  <c r="D120" i="9"/>
  <c r="C120" i="9"/>
  <c r="E113" i="9"/>
  <c r="D113" i="9"/>
  <c r="C113" i="9"/>
  <c r="D111" i="9"/>
  <c r="C111" i="9"/>
  <c r="E110" i="9"/>
  <c r="E106" i="9"/>
  <c r="D106" i="9"/>
  <c r="C106" i="9"/>
  <c r="E105" i="9"/>
  <c r="D105" i="9"/>
  <c r="C105" i="9"/>
  <c r="E104" i="9"/>
  <c r="D104" i="9"/>
  <c r="C104" i="9"/>
  <c r="E103" i="9"/>
  <c r="D103" i="9"/>
  <c r="C103" i="9"/>
  <c r="E70" i="9"/>
  <c r="E118" i="9" s="1"/>
  <c r="D70" i="9"/>
  <c r="D118" i="9" s="1"/>
  <c r="C70" i="9"/>
  <c r="C118" i="9" s="1"/>
  <c r="E47" i="9"/>
  <c r="E111" i="9" s="1"/>
  <c r="D47" i="9"/>
  <c r="C47" i="9"/>
  <c r="E44" i="9"/>
  <c r="E114" i="9" s="1"/>
  <c r="D44" i="9"/>
  <c r="D114" i="9" s="1"/>
  <c r="C44" i="9"/>
  <c r="C112" i="9" s="1"/>
  <c r="E40" i="9"/>
  <c r="E28" i="9" s="1"/>
  <c r="E95" i="9" s="1"/>
  <c r="D40" i="9"/>
  <c r="D97" i="9" s="1"/>
  <c r="C40" i="9"/>
  <c r="C97" i="9" s="1"/>
  <c r="E30" i="9"/>
  <c r="E96" i="9" s="1"/>
  <c r="D30" i="9"/>
  <c r="C30" i="9"/>
  <c r="C96" i="9" s="1"/>
  <c r="E29" i="9"/>
  <c r="E108" i="9" s="1"/>
  <c r="D29" i="9"/>
  <c r="D108" i="9" s="1"/>
  <c r="C29" i="9"/>
  <c r="C108" i="9" s="1"/>
  <c r="E8" i="9"/>
  <c r="E94" i="9" s="1"/>
  <c r="D8" i="9"/>
  <c r="D68" i="9" s="1"/>
  <c r="C8" i="9"/>
  <c r="C68" i="9" s="1"/>
  <c r="C94" i="9" l="1"/>
  <c r="D94" i="9"/>
  <c r="D28" i="9"/>
  <c r="D7" i="9" s="1"/>
  <c r="E68" i="9"/>
  <c r="D96" i="9"/>
  <c r="D110" i="9"/>
  <c r="D112" i="9"/>
  <c r="E97" i="9"/>
  <c r="E112" i="9"/>
  <c r="E7" i="9"/>
  <c r="C28" i="9"/>
  <c r="C110" i="9"/>
  <c r="D95" i="9" l="1"/>
  <c r="C95" i="9"/>
  <c r="C7" i="9"/>
  <c r="E93" i="9"/>
  <c r="E63" i="9"/>
  <c r="E116" i="9"/>
  <c r="D63" i="9"/>
  <c r="D116" i="9" s="1"/>
  <c r="D93" i="9"/>
  <c r="C93" i="9" l="1"/>
  <c r="C63" i="9"/>
  <c r="C116" i="9" s="1"/>
  <c r="C52" i="12" l="1"/>
  <c r="C41" i="4"/>
  <c r="C46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9" i="4"/>
  <c r="C55" i="10"/>
  <c r="C30" i="10"/>
  <c r="D45" i="3"/>
  <c r="E45" i="3"/>
  <c r="C45" i="3"/>
  <c r="E126" i="10"/>
  <c r="D126" i="10"/>
  <c r="E123" i="10"/>
  <c r="D123" i="10"/>
  <c r="C123" i="10"/>
  <c r="E121" i="10"/>
  <c r="D121" i="10"/>
  <c r="C121" i="10"/>
  <c r="E120" i="10"/>
  <c r="D120" i="10"/>
  <c r="E118" i="10"/>
  <c r="D118" i="10"/>
  <c r="E113" i="10"/>
  <c r="D113" i="10"/>
  <c r="C113" i="10"/>
  <c r="E106" i="10"/>
  <c r="D106" i="10"/>
  <c r="C106" i="10"/>
  <c r="E105" i="10"/>
  <c r="D105" i="10"/>
  <c r="C105" i="10"/>
  <c r="E104" i="10"/>
  <c r="D104" i="10"/>
  <c r="C104" i="10"/>
  <c r="E103" i="10"/>
  <c r="D103" i="10"/>
  <c r="C103" i="10"/>
  <c r="E70" i="10"/>
  <c r="D70" i="10"/>
  <c r="C47" i="10"/>
  <c r="C111" i="10" s="1"/>
  <c r="E40" i="10"/>
  <c r="E97" i="10" s="1"/>
  <c r="D40" i="10"/>
  <c r="D97" i="10" s="1"/>
  <c r="C40" i="10"/>
  <c r="C97" i="10" s="1"/>
  <c r="E30" i="10"/>
  <c r="E96" i="10" s="1"/>
  <c r="D30" i="10"/>
  <c r="E8" i="10"/>
  <c r="D8" i="10"/>
  <c r="D68" i="10" s="1"/>
  <c r="C8" i="10"/>
  <c r="C68" i="10" s="1"/>
  <c r="D48" i="12"/>
  <c r="D58" i="12"/>
  <c r="D44" i="12"/>
  <c r="E44" i="12"/>
  <c r="C44" i="12"/>
  <c r="C58" i="12"/>
  <c r="C29" i="10" l="1"/>
  <c r="E29" i="10"/>
  <c r="E108" i="10" s="1"/>
  <c r="C45" i="10"/>
  <c r="D29" i="10"/>
  <c r="E68" i="10"/>
  <c r="C96" i="10"/>
  <c r="D94" i="10"/>
  <c r="D96" i="10"/>
  <c r="E94" i="10"/>
  <c r="C94" i="10"/>
  <c r="E28" i="10" l="1"/>
  <c r="C108" i="10"/>
  <c r="C28" i="10"/>
  <c r="D28" i="10"/>
  <c r="D95" i="10" s="1"/>
  <c r="D108" i="10"/>
  <c r="D7" i="10" l="1"/>
  <c r="D44" i="10" s="1"/>
  <c r="D62" i="10" s="1"/>
  <c r="C7" i="10"/>
  <c r="C95" i="10"/>
  <c r="E95" i="10"/>
  <c r="E7" i="10"/>
  <c r="D63" i="10" l="1"/>
  <c r="D116" i="10" s="1"/>
  <c r="D93" i="10"/>
  <c r="E93" i="10"/>
  <c r="E44" i="10"/>
  <c r="E63" i="10" s="1"/>
  <c r="E116" i="10" s="1"/>
  <c r="C44" i="10"/>
  <c r="C63" i="10" s="1"/>
  <c r="C116" i="10" s="1"/>
  <c r="C93" i="10"/>
  <c r="D47" i="10"/>
  <c r="D47" i="4"/>
  <c r="D114" i="10"/>
  <c r="C112" i="10" l="1"/>
  <c r="C72" i="10"/>
  <c r="C110" i="10"/>
  <c r="E62" i="10"/>
  <c r="D111" i="10"/>
  <c r="D45" i="10"/>
  <c r="D110" i="10" s="1"/>
  <c r="D112" i="10"/>
  <c r="E62" i="4" l="1"/>
  <c r="E47" i="10"/>
  <c r="E114" i="10"/>
  <c r="C70" i="10"/>
  <c r="C118" i="10" s="1"/>
  <c r="C120" i="10"/>
  <c r="E47" i="4" l="1"/>
  <c r="E111" i="10"/>
  <c r="E45" i="10"/>
  <c r="E110" i="10" s="1"/>
  <c r="E112" i="10"/>
  <c r="D46" i="4" l="1"/>
  <c r="E46" i="4"/>
  <c r="D126" i="4"/>
  <c r="D41" i="4"/>
  <c r="E41" i="4"/>
  <c r="E29" i="4"/>
  <c r="E108" i="4" s="1"/>
  <c r="D31" i="4"/>
  <c r="D30" i="4" s="1"/>
  <c r="E31" i="4"/>
  <c r="E30" i="4" s="1"/>
  <c r="D32" i="4"/>
  <c r="D104" i="4" s="1"/>
  <c r="E32" i="4"/>
  <c r="E104" i="4" s="1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C32" i="4"/>
  <c r="C104" i="4" s="1"/>
  <c r="C34" i="4"/>
  <c r="C35" i="4"/>
  <c r="C36" i="4"/>
  <c r="C37" i="4"/>
  <c r="C38" i="4"/>
  <c r="C39" i="4"/>
  <c r="C31" i="4"/>
  <c r="C29" i="4"/>
  <c r="E126" i="12"/>
  <c r="D126" i="12"/>
  <c r="E123" i="12"/>
  <c r="D123" i="12"/>
  <c r="C123" i="12"/>
  <c r="E121" i="12"/>
  <c r="D121" i="12"/>
  <c r="C121" i="12"/>
  <c r="E120" i="12"/>
  <c r="D120" i="12"/>
  <c r="C120" i="12"/>
  <c r="E113" i="12"/>
  <c r="D113" i="12"/>
  <c r="C113" i="12"/>
  <c r="D108" i="12"/>
  <c r="C108" i="12"/>
  <c r="E106" i="12"/>
  <c r="D106" i="12"/>
  <c r="C106" i="12"/>
  <c r="E105" i="12"/>
  <c r="D105" i="12"/>
  <c r="C105" i="12"/>
  <c r="E104" i="12"/>
  <c r="D104" i="12"/>
  <c r="C104" i="12"/>
  <c r="E103" i="12"/>
  <c r="D103" i="12"/>
  <c r="C103" i="12"/>
  <c r="E70" i="12"/>
  <c r="E118" i="12" s="1"/>
  <c r="D70" i="12"/>
  <c r="D118" i="12" s="1"/>
  <c r="C70" i="12"/>
  <c r="C118" i="12" s="1"/>
  <c r="E47" i="12"/>
  <c r="D47" i="12"/>
  <c r="D45" i="12" s="1"/>
  <c r="E114" i="12"/>
  <c r="E40" i="12"/>
  <c r="E97" i="12" s="1"/>
  <c r="D40" i="12"/>
  <c r="D97" i="12" s="1"/>
  <c r="C40" i="12"/>
  <c r="C97" i="12" s="1"/>
  <c r="E30" i="12"/>
  <c r="E96" i="12" s="1"/>
  <c r="D30" i="12"/>
  <c r="D96" i="12" s="1"/>
  <c r="C30" i="12"/>
  <c r="C96" i="12" s="1"/>
  <c r="E29" i="12"/>
  <c r="E108" i="12" s="1"/>
  <c r="D29" i="12"/>
  <c r="C29" i="12"/>
  <c r="D28" i="12"/>
  <c r="D95" i="12" s="1"/>
  <c r="C28" i="12"/>
  <c r="C95" i="12" s="1"/>
  <c r="E24" i="12"/>
  <c r="D24" i="12"/>
  <c r="C24" i="12"/>
  <c r="E21" i="12"/>
  <c r="D21" i="12"/>
  <c r="C21" i="12"/>
  <c r="E14" i="12"/>
  <c r="D14" i="12"/>
  <c r="C14" i="12"/>
  <c r="E11" i="12"/>
  <c r="D11" i="12"/>
  <c r="C11" i="12"/>
  <c r="E9" i="12"/>
  <c r="E8" i="12" s="1"/>
  <c r="D9" i="12"/>
  <c r="C9" i="12"/>
  <c r="D8" i="12"/>
  <c r="D68" i="12" s="1"/>
  <c r="C8" i="12"/>
  <c r="C68" i="12" s="1"/>
  <c r="E8" i="4"/>
  <c r="C8" i="4"/>
  <c r="D8" i="4"/>
  <c r="C30" i="4"/>
  <c r="E40" i="4"/>
  <c r="E97" i="4" s="1"/>
  <c r="C70" i="4"/>
  <c r="C118" i="4" s="1"/>
  <c r="D70" i="4"/>
  <c r="D118" i="4" s="1"/>
  <c r="E70" i="4"/>
  <c r="E118" i="4" s="1"/>
  <c r="C103" i="4"/>
  <c r="D103" i="4"/>
  <c r="E103" i="4"/>
  <c r="E105" i="4"/>
  <c r="C106" i="4"/>
  <c r="D106" i="4"/>
  <c r="E106" i="4"/>
  <c r="C113" i="4"/>
  <c r="D113" i="4"/>
  <c r="E113" i="4"/>
  <c r="C120" i="4"/>
  <c r="D120" i="4"/>
  <c r="E120" i="4"/>
  <c r="C121" i="4"/>
  <c r="D121" i="4"/>
  <c r="E121" i="4"/>
  <c r="C123" i="4"/>
  <c r="D123" i="4"/>
  <c r="E123" i="4"/>
  <c r="E45" i="12" l="1"/>
  <c r="E110" i="12" s="1"/>
  <c r="D45" i="4"/>
  <c r="D44" i="4" s="1"/>
  <c r="E111" i="12"/>
  <c r="D111" i="12"/>
  <c r="D111" i="4"/>
  <c r="D112" i="12"/>
  <c r="E126" i="4"/>
  <c r="E28" i="4"/>
  <c r="E95" i="4" s="1"/>
  <c r="E96" i="4"/>
  <c r="D29" i="4"/>
  <c r="D108" i="4" s="1"/>
  <c r="C108" i="4"/>
  <c r="E68" i="12"/>
  <c r="E94" i="12"/>
  <c r="E7" i="12"/>
  <c r="E112" i="12"/>
  <c r="C94" i="12"/>
  <c r="D94" i="12"/>
  <c r="E28" i="12"/>
  <c r="E95" i="12" s="1"/>
  <c r="C7" i="12"/>
  <c r="D114" i="12"/>
  <c r="D7" i="12"/>
  <c r="D110" i="12"/>
  <c r="D68" i="4"/>
  <c r="D94" i="4"/>
  <c r="C94" i="4"/>
  <c r="C68" i="4"/>
  <c r="E68" i="4"/>
  <c r="E94" i="4"/>
  <c r="D96" i="4"/>
  <c r="C96" i="4"/>
  <c r="D105" i="4"/>
  <c r="C105" i="4"/>
  <c r="D40" i="4"/>
  <c r="D97" i="4" s="1"/>
  <c r="C40" i="4"/>
  <c r="C97" i="4" s="1"/>
  <c r="D114" i="4" l="1"/>
  <c r="E45" i="4"/>
  <c r="E44" i="4" s="1"/>
  <c r="D110" i="4"/>
  <c r="E111" i="4"/>
  <c r="D112" i="4"/>
  <c r="E7" i="4"/>
  <c r="E93" i="4" s="1"/>
  <c r="C28" i="4"/>
  <c r="C95" i="4" s="1"/>
  <c r="D93" i="12"/>
  <c r="D63" i="12"/>
  <c r="D116" i="12" s="1"/>
  <c r="E63" i="12"/>
  <c r="E116" i="12" s="1"/>
  <c r="E93" i="12"/>
  <c r="C63" i="12"/>
  <c r="C116" i="12"/>
  <c r="C93" i="12"/>
  <c r="D28" i="4"/>
  <c r="E112" i="4" l="1"/>
  <c r="E110" i="4"/>
  <c r="E114" i="4"/>
  <c r="E63" i="4"/>
  <c r="E116" i="4" s="1"/>
  <c r="C7" i="4"/>
  <c r="C93" i="4" s="1"/>
  <c r="D95" i="4"/>
  <c r="D7" i="4"/>
  <c r="D93" i="4" l="1"/>
  <c r="D63" i="4"/>
  <c r="D116" i="4" s="1"/>
  <c r="E126" i="3" l="1"/>
  <c r="D126" i="3"/>
  <c r="E123" i="3"/>
  <c r="D123" i="3"/>
  <c r="C123" i="3"/>
  <c r="E121" i="3"/>
  <c r="D121" i="3"/>
  <c r="C121" i="3"/>
  <c r="E120" i="3"/>
  <c r="D120" i="3"/>
  <c r="C120" i="3"/>
  <c r="E113" i="3"/>
  <c r="D113" i="3"/>
  <c r="C113" i="3"/>
  <c r="D111" i="3"/>
  <c r="C111" i="3"/>
  <c r="E106" i="3"/>
  <c r="D106" i="3"/>
  <c r="C106" i="3"/>
  <c r="E105" i="3"/>
  <c r="D105" i="3"/>
  <c r="C105" i="3"/>
  <c r="E104" i="3"/>
  <c r="D104" i="3"/>
  <c r="C104" i="3"/>
  <c r="E103" i="3"/>
  <c r="D103" i="3"/>
  <c r="C103" i="3"/>
  <c r="D96" i="3"/>
  <c r="C96" i="3"/>
  <c r="E70" i="3"/>
  <c r="E118" i="3" s="1"/>
  <c r="D70" i="3"/>
  <c r="D118" i="3" s="1"/>
  <c r="C70" i="3"/>
  <c r="C118" i="3" s="1"/>
  <c r="E47" i="3"/>
  <c r="E111" i="3" s="1"/>
  <c r="D47" i="3"/>
  <c r="C47" i="3"/>
  <c r="E40" i="3"/>
  <c r="E97" i="3" s="1"/>
  <c r="D40" i="3"/>
  <c r="D97" i="3" s="1"/>
  <c r="C40" i="3"/>
  <c r="C97" i="3" s="1"/>
  <c r="E30" i="3"/>
  <c r="D30" i="3"/>
  <c r="C30" i="3"/>
  <c r="E29" i="3"/>
  <c r="E108" i="3" s="1"/>
  <c r="D29" i="3"/>
  <c r="D108" i="3" s="1"/>
  <c r="C29" i="3"/>
  <c r="C108" i="3" s="1"/>
  <c r="E8" i="3"/>
  <c r="E94" i="3" s="1"/>
  <c r="D8" i="3"/>
  <c r="D68" i="3" s="1"/>
  <c r="C8" i="3"/>
  <c r="C68" i="3" s="1"/>
  <c r="E68" i="3" l="1"/>
  <c r="E28" i="3"/>
  <c r="E95" i="3" s="1"/>
  <c r="E7" i="3"/>
  <c r="C94" i="3"/>
  <c r="D94" i="3"/>
  <c r="E96" i="3"/>
  <c r="C28" i="3"/>
  <c r="C95" i="3" s="1"/>
  <c r="D28" i="3"/>
  <c r="D95" i="3" s="1"/>
  <c r="E44" i="3" l="1"/>
  <c r="E93" i="3"/>
  <c r="D7" i="3"/>
  <c r="D44" i="3" s="1"/>
  <c r="C7" i="3"/>
  <c r="C44" i="3" s="1"/>
  <c r="C110" i="3" l="1"/>
  <c r="C112" i="3"/>
  <c r="D110" i="3"/>
  <c r="D114" i="3"/>
  <c r="D112" i="3"/>
  <c r="E110" i="3"/>
  <c r="E114" i="3"/>
  <c r="E112" i="3"/>
  <c r="E63" i="3"/>
  <c r="E116" i="3" s="1"/>
  <c r="C93" i="3"/>
  <c r="C63" i="3"/>
  <c r="C116" i="3"/>
  <c r="D93" i="3"/>
  <c r="D63" i="3"/>
  <c r="D116" i="3" s="1"/>
  <c r="E126" i="6" l="1"/>
  <c r="D126" i="6"/>
  <c r="E123" i="6"/>
  <c r="D123" i="6"/>
  <c r="C123" i="6"/>
  <c r="E121" i="6"/>
  <c r="D121" i="6"/>
  <c r="C121" i="6"/>
  <c r="E120" i="6"/>
  <c r="D120" i="6"/>
  <c r="C120" i="6"/>
  <c r="E113" i="6"/>
  <c r="D113" i="6"/>
  <c r="C113" i="6"/>
  <c r="E106" i="6"/>
  <c r="D106" i="6"/>
  <c r="C106" i="6"/>
  <c r="E105" i="6"/>
  <c r="D105" i="6"/>
  <c r="C105" i="6"/>
  <c r="E104" i="6"/>
  <c r="D104" i="6"/>
  <c r="C104" i="6"/>
  <c r="E103" i="6"/>
  <c r="D103" i="6"/>
  <c r="C103" i="6"/>
  <c r="E96" i="6"/>
  <c r="D96" i="6"/>
  <c r="D94" i="6"/>
  <c r="C94" i="6"/>
  <c r="E70" i="6"/>
  <c r="E118" i="6" s="1"/>
  <c r="D70" i="6"/>
  <c r="D118" i="6" s="1"/>
  <c r="C70" i="6"/>
  <c r="C118" i="6" s="1"/>
  <c r="C68" i="6"/>
  <c r="E55" i="6"/>
  <c r="D55" i="6"/>
  <c r="C55" i="6"/>
  <c r="C47" i="6" s="1"/>
  <c r="C111" i="6" s="1"/>
  <c r="E52" i="6"/>
  <c r="D52" i="6"/>
  <c r="D47" i="6" s="1"/>
  <c r="D111" i="6" s="1"/>
  <c r="E47" i="6"/>
  <c r="E111" i="6" s="1"/>
  <c r="E44" i="6"/>
  <c r="E112" i="6" s="1"/>
  <c r="D44" i="6"/>
  <c r="C44" i="6"/>
  <c r="C112" i="6" s="1"/>
  <c r="E40" i="6"/>
  <c r="E97" i="6" s="1"/>
  <c r="D40" i="6"/>
  <c r="D28" i="6" s="1"/>
  <c r="D95" i="6" s="1"/>
  <c r="C40" i="6"/>
  <c r="C97" i="6" s="1"/>
  <c r="E30" i="6"/>
  <c r="D30" i="6"/>
  <c r="C30" i="6"/>
  <c r="E29" i="6"/>
  <c r="E108" i="6" s="1"/>
  <c r="D29" i="6"/>
  <c r="D108" i="6" s="1"/>
  <c r="C29" i="6"/>
  <c r="C108" i="6" s="1"/>
  <c r="E8" i="6"/>
  <c r="E94" i="6" s="1"/>
  <c r="D8" i="6"/>
  <c r="D68" i="6" s="1"/>
  <c r="C8" i="6"/>
  <c r="E126" i="7"/>
  <c r="D126" i="7"/>
  <c r="E123" i="7"/>
  <c r="D123" i="7"/>
  <c r="C123" i="7"/>
  <c r="E121" i="7"/>
  <c r="D121" i="7"/>
  <c r="C121" i="7"/>
  <c r="E120" i="7"/>
  <c r="D120" i="7"/>
  <c r="C120" i="7"/>
  <c r="E113" i="7"/>
  <c r="D113" i="7"/>
  <c r="C113" i="7"/>
  <c r="E106" i="7"/>
  <c r="D106" i="7"/>
  <c r="C106" i="7"/>
  <c r="E105" i="7"/>
  <c r="D105" i="7"/>
  <c r="C105" i="7"/>
  <c r="E104" i="7"/>
  <c r="D104" i="7"/>
  <c r="C104" i="7"/>
  <c r="E103" i="7"/>
  <c r="D103" i="7"/>
  <c r="C103" i="7"/>
  <c r="E96" i="7"/>
  <c r="D96" i="7"/>
  <c r="E70" i="7"/>
  <c r="E118" i="7" s="1"/>
  <c r="D70" i="7"/>
  <c r="D118" i="7" s="1"/>
  <c r="C70" i="7"/>
  <c r="C118" i="7" s="1"/>
  <c r="C68" i="7"/>
  <c r="E55" i="7"/>
  <c r="D55" i="7"/>
  <c r="C55" i="7"/>
  <c r="E47" i="7"/>
  <c r="E111" i="7" s="1"/>
  <c r="D47" i="7"/>
  <c r="D111" i="7" s="1"/>
  <c r="C47" i="7"/>
  <c r="C111" i="7" s="1"/>
  <c r="D45" i="7"/>
  <c r="E44" i="7"/>
  <c r="E112" i="7" s="1"/>
  <c r="D44" i="7"/>
  <c r="D112" i="7" s="1"/>
  <c r="C44" i="7"/>
  <c r="C112" i="7" s="1"/>
  <c r="E40" i="7"/>
  <c r="E97" i="7" s="1"/>
  <c r="D40" i="7"/>
  <c r="D97" i="7" s="1"/>
  <c r="C40" i="7"/>
  <c r="C97" i="7" s="1"/>
  <c r="E30" i="7"/>
  <c r="D30" i="7"/>
  <c r="C30" i="7"/>
  <c r="E29" i="7"/>
  <c r="E108" i="7" s="1"/>
  <c r="D29" i="7"/>
  <c r="D108" i="7" s="1"/>
  <c r="C29" i="7"/>
  <c r="C108" i="7" s="1"/>
  <c r="E8" i="7"/>
  <c r="E68" i="7" s="1"/>
  <c r="D8" i="7"/>
  <c r="D94" i="7" s="1"/>
  <c r="C8" i="7"/>
  <c r="C94" i="7" s="1"/>
  <c r="E126" i="8"/>
  <c r="D126" i="8"/>
  <c r="E123" i="8"/>
  <c r="D123" i="8"/>
  <c r="C123" i="8"/>
  <c r="E121" i="8"/>
  <c r="D121" i="8"/>
  <c r="C121" i="8"/>
  <c r="E120" i="8"/>
  <c r="D120" i="8"/>
  <c r="C120" i="8"/>
  <c r="E113" i="8"/>
  <c r="D113" i="8"/>
  <c r="C113" i="8"/>
  <c r="E106" i="8"/>
  <c r="D106" i="8"/>
  <c r="C106" i="8"/>
  <c r="E105" i="8"/>
  <c r="D105" i="8"/>
  <c r="C105" i="8"/>
  <c r="E104" i="8"/>
  <c r="D104" i="8"/>
  <c r="C104" i="8"/>
  <c r="E103" i="8"/>
  <c r="D103" i="8"/>
  <c r="C103" i="8"/>
  <c r="E70" i="8"/>
  <c r="E118" i="8" s="1"/>
  <c r="D70" i="8"/>
  <c r="D118" i="8" s="1"/>
  <c r="C70" i="8"/>
  <c r="C118" i="8" s="1"/>
  <c r="E62" i="8"/>
  <c r="D62" i="8"/>
  <c r="E48" i="8"/>
  <c r="D48" i="8"/>
  <c r="D47" i="8"/>
  <c r="D45" i="8" s="1"/>
  <c r="D44" i="8" s="1"/>
  <c r="C47" i="8"/>
  <c r="C45" i="8" s="1"/>
  <c r="C44" i="8" s="1"/>
  <c r="E40" i="8"/>
  <c r="E97" i="8" s="1"/>
  <c r="D40" i="8"/>
  <c r="D97" i="8" s="1"/>
  <c r="C40" i="8"/>
  <c r="C97" i="8" s="1"/>
  <c r="E30" i="8"/>
  <c r="E96" i="8" s="1"/>
  <c r="D30" i="8"/>
  <c r="D96" i="8" s="1"/>
  <c r="C30" i="8"/>
  <c r="E29" i="8"/>
  <c r="E108" i="8" s="1"/>
  <c r="D29" i="8"/>
  <c r="D108" i="8" s="1"/>
  <c r="C29" i="8"/>
  <c r="C108" i="8" s="1"/>
  <c r="E8" i="8"/>
  <c r="E94" i="8" s="1"/>
  <c r="D8" i="8"/>
  <c r="D68" i="8" s="1"/>
  <c r="C8" i="8"/>
  <c r="C68" i="8" s="1"/>
  <c r="E68" i="8" l="1"/>
  <c r="C94" i="8"/>
  <c r="D94" i="8"/>
  <c r="D97" i="6"/>
  <c r="E28" i="8"/>
  <c r="C28" i="8"/>
  <c r="C7" i="8" s="1"/>
  <c r="D28" i="8"/>
  <c r="C28" i="7"/>
  <c r="C95" i="7" s="1"/>
  <c r="D7" i="6"/>
  <c r="D93" i="6" s="1"/>
  <c r="C28" i="6"/>
  <c r="C95" i="6" s="1"/>
  <c r="C7" i="6"/>
  <c r="D112" i="6"/>
  <c r="E28" i="6"/>
  <c r="E95" i="6" s="1"/>
  <c r="C110" i="6"/>
  <c r="D114" i="6"/>
  <c r="D110" i="6"/>
  <c r="E114" i="6"/>
  <c r="E68" i="6"/>
  <c r="E110" i="6"/>
  <c r="C96" i="6"/>
  <c r="E94" i="7"/>
  <c r="D28" i="7"/>
  <c r="D95" i="7" s="1"/>
  <c r="C110" i="7"/>
  <c r="D114" i="7"/>
  <c r="E28" i="7"/>
  <c r="E95" i="7" s="1"/>
  <c r="D68" i="7"/>
  <c r="D110" i="7"/>
  <c r="E114" i="7"/>
  <c r="E110" i="7"/>
  <c r="C96" i="7"/>
  <c r="C112" i="8"/>
  <c r="C110" i="8"/>
  <c r="D112" i="8"/>
  <c r="D110" i="8"/>
  <c r="D114" i="8"/>
  <c r="C96" i="8"/>
  <c r="C111" i="8"/>
  <c r="E47" i="8"/>
  <c r="D111" i="8"/>
  <c r="C7" i="7" l="1"/>
  <c r="C63" i="7" s="1"/>
  <c r="C116" i="7" s="1"/>
  <c r="D95" i="8"/>
  <c r="D7" i="8"/>
  <c r="C95" i="8"/>
  <c r="E7" i="8"/>
  <c r="E93" i="8" s="1"/>
  <c r="E95" i="8"/>
  <c r="D63" i="6"/>
  <c r="D116" i="6" s="1"/>
  <c r="E7" i="6"/>
  <c r="C63" i="6"/>
  <c r="C116" i="6"/>
  <c r="C93" i="6"/>
  <c r="D7" i="7"/>
  <c r="E7" i="7"/>
  <c r="C93" i="8"/>
  <c r="C63" i="8"/>
  <c r="C116" i="8"/>
  <c r="E45" i="8"/>
  <c r="E44" i="8" s="1"/>
  <c r="E111" i="8"/>
  <c r="C93" i="7" l="1"/>
  <c r="D93" i="8"/>
  <c r="D63" i="8"/>
  <c r="D116" i="8" s="1"/>
  <c r="E93" i="6"/>
  <c r="E63" i="6"/>
  <c r="E116" i="6" s="1"/>
  <c r="E63" i="7"/>
  <c r="E116" i="7" s="1"/>
  <c r="E93" i="7"/>
  <c r="D63" i="7"/>
  <c r="D116" i="7"/>
  <c r="D93" i="7"/>
  <c r="E112" i="8"/>
  <c r="E110" i="8"/>
  <c r="E114" i="8"/>
  <c r="E63" i="8"/>
  <c r="E116" i="8"/>
  <c r="E45" i="5" l="1"/>
  <c r="E55" i="5"/>
  <c r="E47" i="5" s="1"/>
  <c r="E111" i="5" s="1"/>
  <c r="E126" i="5"/>
  <c r="D126" i="5"/>
  <c r="E123" i="5"/>
  <c r="D123" i="5"/>
  <c r="C123" i="5"/>
  <c r="E121" i="5"/>
  <c r="D121" i="5"/>
  <c r="C121" i="5"/>
  <c r="E120" i="5"/>
  <c r="D120" i="5"/>
  <c r="C120" i="5"/>
  <c r="C118" i="5"/>
  <c r="E113" i="5"/>
  <c r="D113" i="5"/>
  <c r="C113" i="5"/>
  <c r="E106" i="5"/>
  <c r="D106" i="5"/>
  <c r="C106" i="5"/>
  <c r="E105" i="5"/>
  <c r="D105" i="5"/>
  <c r="C105" i="5"/>
  <c r="E104" i="5"/>
  <c r="D104" i="5"/>
  <c r="C104" i="5"/>
  <c r="E103" i="5"/>
  <c r="D103" i="5"/>
  <c r="C103" i="5"/>
  <c r="E70" i="5"/>
  <c r="E118" i="5" s="1"/>
  <c r="D70" i="5"/>
  <c r="D118" i="5" s="1"/>
  <c r="C70" i="5"/>
  <c r="D47" i="5"/>
  <c r="D111" i="5" s="1"/>
  <c r="C47" i="5"/>
  <c r="C111" i="5" s="1"/>
  <c r="E40" i="5"/>
  <c r="E97" i="5" s="1"/>
  <c r="D40" i="5"/>
  <c r="D97" i="5" s="1"/>
  <c r="C40" i="5"/>
  <c r="C97" i="5" s="1"/>
  <c r="E30" i="5"/>
  <c r="E96" i="5" s="1"/>
  <c r="D30" i="5"/>
  <c r="C30" i="5"/>
  <c r="C96" i="5" s="1"/>
  <c r="E8" i="5"/>
  <c r="E68" i="5" s="1"/>
  <c r="D8" i="5"/>
  <c r="D68" i="5" s="1"/>
  <c r="C8" i="5"/>
  <c r="C94" i="5" s="1"/>
  <c r="E126" i="11"/>
  <c r="D126" i="11"/>
  <c r="E123" i="11"/>
  <c r="D123" i="11"/>
  <c r="C123" i="11"/>
  <c r="E121" i="11"/>
  <c r="D121" i="11"/>
  <c r="C121" i="11"/>
  <c r="E120" i="11"/>
  <c r="D120" i="11"/>
  <c r="C120" i="11"/>
  <c r="E113" i="11"/>
  <c r="D113" i="11"/>
  <c r="C113" i="11"/>
  <c r="E111" i="11"/>
  <c r="D111" i="11"/>
  <c r="C111" i="11"/>
  <c r="C108" i="11"/>
  <c r="E106" i="11"/>
  <c r="D106" i="11"/>
  <c r="C106" i="11"/>
  <c r="E105" i="11"/>
  <c r="D105" i="11"/>
  <c r="C105" i="11"/>
  <c r="E104" i="11"/>
  <c r="D104" i="11"/>
  <c r="C104" i="11"/>
  <c r="E103" i="11"/>
  <c r="D103" i="11"/>
  <c r="C103" i="11"/>
  <c r="E70" i="11"/>
  <c r="E118" i="11" s="1"/>
  <c r="D70" i="11"/>
  <c r="D118" i="11" s="1"/>
  <c r="C70" i="11"/>
  <c r="C118" i="11" s="1"/>
  <c r="E47" i="11"/>
  <c r="D47" i="11"/>
  <c r="C47" i="11"/>
  <c r="E44" i="11"/>
  <c r="E112" i="11" s="1"/>
  <c r="D44" i="11"/>
  <c r="D112" i="11" s="1"/>
  <c r="C44" i="11"/>
  <c r="C112" i="11" s="1"/>
  <c r="E40" i="11"/>
  <c r="E97" i="11" s="1"/>
  <c r="D40" i="11"/>
  <c r="D97" i="11" s="1"/>
  <c r="C40" i="11"/>
  <c r="C97" i="11" s="1"/>
  <c r="E30" i="11"/>
  <c r="E28" i="11" s="1"/>
  <c r="E95" i="11" s="1"/>
  <c r="D30" i="11"/>
  <c r="C30" i="11"/>
  <c r="E29" i="11"/>
  <c r="E108" i="11" s="1"/>
  <c r="D29" i="11"/>
  <c r="D108" i="11" s="1"/>
  <c r="E8" i="11"/>
  <c r="E68" i="11" s="1"/>
  <c r="D8" i="11"/>
  <c r="D68" i="11" s="1"/>
  <c r="C8" i="11"/>
  <c r="C68" i="11" s="1"/>
  <c r="C94" i="11" l="1"/>
  <c r="D94" i="11"/>
  <c r="C28" i="5"/>
  <c r="C28" i="11"/>
  <c r="D28" i="11"/>
  <c r="D95" i="11" s="1"/>
  <c r="C29" i="5"/>
  <c r="C108" i="5" s="1"/>
  <c r="D28" i="5"/>
  <c r="D7" i="5" s="1"/>
  <c r="D44" i="5" s="1"/>
  <c r="D110" i="5" s="1"/>
  <c r="E29" i="5"/>
  <c r="E108" i="5" s="1"/>
  <c r="D29" i="5"/>
  <c r="D108" i="5" s="1"/>
  <c r="E94" i="5"/>
  <c r="D94" i="5"/>
  <c r="C68" i="5"/>
  <c r="C7" i="5"/>
  <c r="D96" i="5"/>
  <c r="E28" i="5"/>
  <c r="C95" i="5"/>
  <c r="C95" i="11"/>
  <c r="C7" i="11"/>
  <c r="C96" i="11"/>
  <c r="D96" i="11"/>
  <c r="E94" i="11"/>
  <c r="E96" i="11"/>
  <c r="E7" i="11"/>
  <c r="C110" i="11"/>
  <c r="D114" i="11"/>
  <c r="D110" i="11"/>
  <c r="E114" i="11"/>
  <c r="E110" i="11"/>
  <c r="D112" i="5" l="1"/>
  <c r="D114" i="5"/>
  <c r="C93" i="5"/>
  <c r="C44" i="5"/>
  <c r="C63" i="5" s="1"/>
  <c r="C116" i="5" s="1"/>
  <c r="D95" i="5"/>
  <c r="D7" i="11"/>
  <c r="D93" i="11" s="1"/>
  <c r="D63" i="5"/>
  <c r="D116" i="5" s="1"/>
  <c r="D93" i="5"/>
  <c r="E95" i="5"/>
  <c r="E7" i="5"/>
  <c r="E44" i="5" s="1"/>
  <c r="E93" i="11"/>
  <c r="E63" i="11"/>
  <c r="E116" i="11"/>
  <c r="C93" i="11"/>
  <c r="C63" i="11"/>
  <c r="C116" i="11" s="1"/>
  <c r="D63" i="11" l="1"/>
  <c r="D116" i="11" s="1"/>
  <c r="E112" i="5"/>
  <c r="E114" i="5"/>
  <c r="E110" i="5"/>
  <c r="C110" i="5"/>
  <c r="C112" i="5"/>
  <c r="E93" i="5"/>
  <c r="E63" i="5"/>
  <c r="E116" i="5" s="1"/>
  <c r="C47" i="12"/>
  <c r="C47" i="4"/>
  <c r="C111" i="4" s="1"/>
  <c r="C111" i="12" l="1"/>
  <c r="C45" i="12"/>
  <c r="C45" i="4" s="1"/>
  <c r="C112" i="12"/>
  <c r="C44" i="4" l="1"/>
  <c r="G37" i="4" s="1"/>
  <c r="C110" i="12"/>
  <c r="C112" i="4" l="1"/>
  <c r="C63" i="4"/>
  <c r="C116" i="4" s="1"/>
  <c r="C110" i="4"/>
</calcChain>
</file>

<file path=xl/sharedStrings.xml><?xml version="1.0" encoding="utf-8"?>
<sst xmlns="http://schemas.openxmlformats.org/spreadsheetml/2006/main" count="1822" uniqueCount="198">
  <si>
    <t xml:space="preserve">Наименование </t>
  </si>
  <si>
    <t>Доходы, в том числе:</t>
  </si>
  <si>
    <t xml:space="preserve"> - дотация на выравнивание бюджетной обеспеченности</t>
  </si>
  <si>
    <t xml:space="preserve"> - дотация на поддержку мер по обеспечению сбалансированности</t>
  </si>
  <si>
    <t>Расходы всего, в том числе:</t>
  </si>
  <si>
    <t>расходы на реализацию муниципальных программ</t>
  </si>
  <si>
    <t>непрограммные расходы местных бюджетов</t>
  </si>
  <si>
    <t>Профицит бюджета (со знаком "+")
дефицит бюджета (со знаком "-")</t>
  </si>
  <si>
    <t>Контроль по расходам</t>
  </si>
  <si>
    <t>налог на доходы физических лиц</t>
  </si>
  <si>
    <t>из него: по дополнительному нормативу</t>
  </si>
  <si>
    <t>акцизы</t>
  </si>
  <si>
    <t>упрощенная система налогообложения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</si>
  <si>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</si>
  <si>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</si>
  <si>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</si>
  <si>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</si>
  <si>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</si>
  <si>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</si>
  <si>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по отмененным налогам</t>
  </si>
  <si>
    <t>№ п/п</t>
  </si>
  <si>
    <t>1.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</si>
  <si>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</si>
  <si>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</si>
  <si>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</si>
  <si>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</si>
  <si>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</si>
  <si>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</si>
  <si>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</si>
  <si>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</si>
  <si>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</si>
  <si>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</si>
  <si>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</si>
  <si>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</si>
  <si>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1.2.1</t>
  </si>
  <si>
    <t>возврат остатков (2.19)</t>
  </si>
  <si>
    <t>1.2.2</t>
  </si>
  <si>
    <t>1.2.2.1</t>
  </si>
  <si>
    <t>1.2.2.2</t>
  </si>
  <si>
    <t>1.2.2.3</t>
  </si>
  <si>
    <t xml:space="preserve"> - прочие дотации</t>
  </si>
  <si>
    <t>1.2.3</t>
  </si>
  <si>
    <t>2.</t>
  </si>
  <si>
    <t>2.1</t>
  </si>
  <si>
    <t>2.2.</t>
  </si>
  <si>
    <t>3.</t>
  </si>
  <si>
    <t>3.1</t>
  </si>
  <si>
    <t>3.2</t>
  </si>
  <si>
    <t>Контроль по доходам</t>
  </si>
  <si>
    <t>Дефицит/профицит</t>
  </si>
  <si>
    <t>1.2.1.1</t>
  </si>
  <si>
    <t>1.2.1.2</t>
  </si>
  <si>
    <t>1.2.1.3</t>
  </si>
  <si>
    <t>1.2.1.4</t>
  </si>
  <si>
    <t>1.2.1.5</t>
  </si>
  <si>
    <t>целевого характера, из них:</t>
  </si>
  <si>
    <t>нецелевого характера, из них:</t>
  </si>
  <si>
    <t>3.1.1</t>
  </si>
  <si>
    <t>2025 год</t>
  </si>
  <si>
    <t>2026 год</t>
  </si>
  <si>
    <t>доходы от возврата остатков (2.18)</t>
  </si>
  <si>
    <t>х</t>
  </si>
  <si>
    <t>налоговые и неналоговые (1.00), в том числе:</t>
  </si>
  <si>
    <t>прочие БП (2.07)</t>
  </si>
  <si>
    <t>Исполнитель ___________________ ФИО (полностью), номер телефона</t>
  </si>
  <si>
    <t>(подпись)</t>
  </si>
  <si>
    <t>Приложение</t>
  </si>
  <si>
    <r>
      <t xml:space="preserve">Уровень долговой нагрузки, </t>
    </r>
    <r>
      <rPr>
        <i/>
        <sz val="14"/>
        <color rgb="FF000000"/>
        <rFont val="Times New Roman"/>
        <family val="1"/>
        <charset val="204"/>
      </rPr>
      <t>процентов</t>
    </r>
  </si>
  <si>
    <t>суммы подлежащие исключению, из них:</t>
  </si>
  <si>
    <t>проценты за пользование кредитами, предоставленными из бюджета МО местным бюджетам</t>
  </si>
  <si>
    <t>субсидии (2.02.2)</t>
  </si>
  <si>
    <t>субвенции (2.02.3)</t>
  </si>
  <si>
    <t>ИМБТ (2.02.4)</t>
  </si>
  <si>
    <t>прочие БП от других бюджетов бюджетной системы РФ(2.02.9)</t>
  </si>
  <si>
    <t>ст. 142.3 БК РФ (субсидии из бюджета МО местным бюджетам); 
ст. 142.4 (ИМБТ бюджетам поселений из бюджета МР); 
ст. 142.5 БК РФ (ИМБТ из бюджета поселений бюджетам МР)</t>
  </si>
  <si>
    <t>1.2.1.6</t>
  </si>
  <si>
    <t>1.2.1.7</t>
  </si>
  <si>
    <t>1.2.1.8</t>
  </si>
  <si>
    <t>2027 год</t>
  </si>
  <si>
    <r>
      <t xml:space="preserve">Объем муниципального долга </t>
    </r>
    <r>
      <rPr>
        <i/>
        <sz val="14"/>
        <color rgb="FF000000"/>
        <rFont val="Times New Roman"/>
        <family val="1"/>
        <charset val="204"/>
      </rPr>
      <t>(на конец года), из них:</t>
    </r>
  </si>
  <si>
    <t>рыночные заимствования</t>
  </si>
  <si>
    <t>бюджетные кредиты</t>
  </si>
  <si>
    <t>3.1.2</t>
  </si>
  <si>
    <t>4.</t>
  </si>
  <si>
    <t>4.1</t>
  </si>
  <si>
    <t>Справочно расходы:</t>
  </si>
  <si>
    <t>3.3</t>
  </si>
  <si>
    <t>Расходы на обслуживание муниципального долга</t>
  </si>
  <si>
    <t>4.1.1</t>
  </si>
  <si>
    <t>4.1.2</t>
  </si>
  <si>
    <t>4.1.3</t>
  </si>
  <si>
    <t>1.1</t>
  </si>
  <si>
    <t>1.2</t>
  </si>
  <si>
    <t>ст. 142.1 БК РФ (дотация на выравнивание поселений 
из бюджета МР)</t>
  </si>
  <si>
    <t>Руководитель финансового органа муниципального района (городского округа) __________________________ ФИО</t>
  </si>
  <si>
    <r>
      <t xml:space="preserve">Объем консолидированного бюджета муниципального района 
(бюджета городского округа) </t>
    </r>
    <r>
      <rPr>
        <sz val="14"/>
        <color rgb="FF3333FF"/>
        <rFont val="Times New Roman"/>
        <family val="1"/>
        <charset val="204"/>
      </rPr>
      <t>(без учета внутренних оборотов),</t>
    </r>
    <r>
      <rPr>
        <sz val="14"/>
        <color rgb="FF000000"/>
        <rFont val="Times New Roman"/>
        <family val="1"/>
        <charset val="204"/>
      </rPr>
      <t xml:space="preserve"> (рублей) </t>
    </r>
  </si>
  <si>
    <t>БП от государственных (муниципальных) организаций (2.03)</t>
  </si>
  <si>
    <t>2.3</t>
  </si>
  <si>
    <t>расходы в разрезе разделов, в том числе:</t>
  </si>
  <si>
    <t>2.3.1</t>
  </si>
  <si>
    <t>01 00 Общегосударственные вопросы</t>
  </si>
  <si>
    <t>2.3.2</t>
  </si>
  <si>
    <t>02 00 Национальная оборона</t>
  </si>
  <si>
    <t>2.3.3</t>
  </si>
  <si>
    <t>03 00 Национальная безопасность и правоохранительная деятельность</t>
  </si>
  <si>
    <t>2.3.4</t>
  </si>
  <si>
    <t>04 00 Национальная экономика</t>
  </si>
  <si>
    <t>2.3.5</t>
  </si>
  <si>
    <t>2.3.6</t>
  </si>
  <si>
    <t>05 00 Жилищно-коммунальное хозяйство</t>
  </si>
  <si>
    <t>2.3.7</t>
  </si>
  <si>
    <t>06 00 Охрана окружающей среды</t>
  </si>
  <si>
    <t>2.3.8</t>
  </si>
  <si>
    <t>07 00 Образование</t>
  </si>
  <si>
    <t>2.3.9</t>
  </si>
  <si>
    <t>08 00 Культура, кинематография</t>
  </si>
  <si>
    <t>2.3.10</t>
  </si>
  <si>
    <t>09 00 Здравоохранение</t>
  </si>
  <si>
    <t>2.3.11</t>
  </si>
  <si>
    <t>10 00 Социальная политика</t>
  </si>
  <si>
    <t>2.3.12</t>
  </si>
  <si>
    <t>11 00 Физическая культура и спорт</t>
  </si>
  <si>
    <t>2.3.13</t>
  </si>
  <si>
    <t>12 00 Средства массовой информации</t>
  </si>
  <si>
    <t>2.3.14</t>
  </si>
  <si>
    <t>13 00 Обслуживание государственного (муниципального) долга</t>
  </si>
  <si>
    <t>2.3.15</t>
  </si>
  <si>
    <t>14 00 Межбюджетные трансферты общего характера бюджетам бюджетной системы Российской Федерации</t>
  </si>
  <si>
    <t>Условно-утвержденные расходы</t>
  </si>
  <si>
    <t xml:space="preserve">Доходы п.1 </t>
  </si>
  <si>
    <t>ННД п. 1.1</t>
  </si>
  <si>
    <t>БП п. 1.2</t>
  </si>
  <si>
    <t>целевого п. 1.2.2</t>
  </si>
  <si>
    <t>нецелевого п. 1.2.3</t>
  </si>
  <si>
    <t>субвенции - данные Закона</t>
  </si>
  <si>
    <t>дотация на вырав-е - данные Закона</t>
  </si>
  <si>
    <t>дотация на сбал-ть - данные Закона</t>
  </si>
  <si>
    <t>контроль субвенции</t>
  </si>
  <si>
    <t>контроль дот на вырав-е</t>
  </si>
  <si>
    <t>контроль дот на сбалан-ть</t>
  </si>
  <si>
    <t>контроль 2.02</t>
  </si>
  <si>
    <t>Расходы п. 2</t>
  </si>
  <si>
    <t>Расходы п. 2.3</t>
  </si>
  <si>
    <t>п. 2 = п. 2.3</t>
  </si>
  <si>
    <t>МБТ РзПрз 14 п. 2.3.14</t>
  </si>
  <si>
    <t>УУР</t>
  </si>
  <si>
    <t>Профицит/дефицит бюджета п. 3</t>
  </si>
  <si>
    <t>Контроль по СПРАВОЧНО</t>
  </si>
  <si>
    <t>ВО п. 4.1</t>
  </si>
  <si>
    <t>субвенция на дотацию - данные Закона</t>
  </si>
  <si>
    <t>субсидии, ИМБТ п. 4.1.2</t>
  </si>
  <si>
    <t>% за пользование кредитами</t>
  </si>
  <si>
    <t>контроль дотац на вырав поселениям п. 4.1.1</t>
  </si>
  <si>
    <t>контроль субсидии, ИМБТ п. 4.1.2</t>
  </si>
  <si>
    <t>контроль % за пользование кредитами</t>
  </si>
  <si>
    <t>Динамика расходов</t>
  </si>
  <si>
    <t>безвозмездные поступления от других бюджетов 
бюджетной системы РФ (2.02)</t>
  </si>
  <si>
    <t>безвозмездные поступления (2.00) всего</t>
  </si>
  <si>
    <t>перечисления для осуществления возврата (зачета) излишне уплаченных или излишне взысканных сумм (2.08)</t>
  </si>
  <si>
    <t>1.2.1.9</t>
  </si>
  <si>
    <t>субсидии - данные Закона</t>
  </si>
  <si>
    <t>контроль субсидии</t>
  </si>
  <si>
    <t>единый налог на вмененный доход</t>
  </si>
  <si>
    <t>1.1.13</t>
  </si>
  <si>
    <t>доходы от использования имущества</t>
  </si>
  <si>
    <t>1.1.14</t>
  </si>
  <si>
    <t>платежи при пользовании природными ресурсами</t>
  </si>
  <si>
    <t>1.1.15</t>
  </si>
  <si>
    <t>доходы от оказания платных услуг (работ) и компенсации затрат</t>
  </si>
  <si>
    <t>1.1.16</t>
  </si>
  <si>
    <t>доходы от продажи активов</t>
  </si>
  <si>
    <t>1.1.17</t>
  </si>
  <si>
    <t>административные платежи и сборы</t>
  </si>
  <si>
    <t>1.1.18</t>
  </si>
  <si>
    <t>штрафы, санкции, возмещение ущерба</t>
  </si>
  <si>
    <t>1.1.19</t>
  </si>
  <si>
    <t>прочие неналоговые доходы</t>
  </si>
  <si>
    <t xml:space="preserve">ОСНОВНЫЕ ПАРАМЕТРЫ
 проекта консолидированного бюджета Александровского сельское поселения Азовского немецкого национального муниципального района (бюджета городского округа) Омской области 
на 2025 год и на плановый период 2026 и 2027 годов </t>
  </si>
  <si>
    <t xml:space="preserve">Объем консолидированного бюджета муниципального района 
(бюджета городского округа) (без учета внутренних оборотов), (рублей) </t>
  </si>
  <si>
    <t>Объем муниципального долга (на конец года), из них:</t>
  </si>
  <si>
    <t>Уровень долговой нагрузки, процентов</t>
  </si>
  <si>
    <t xml:space="preserve">ОСНОВНЫЕ ПАРАМЕТРЫ
 проекта консолидированного бюджета ГАУФСКОГО сельского поселения Азовского немецкого национального  муниципального района (бюджета городского округа) Омской области 
на 2025 год и на плановый период 2026 и 2027 годов </t>
  </si>
  <si>
    <r>
      <rPr>
        <sz val="14"/>
        <color rgb="FF000000"/>
        <rFont val="Times New Roman"/>
        <family val="1"/>
        <charset val="204"/>
      </rPr>
      <t xml:space="preserve">Объем консолидированного бюджета муниципального района 
(бюджета городского округа) </t>
    </r>
    <r>
      <rPr>
        <sz val="14"/>
        <color rgb="FF3333FF"/>
        <rFont val="Times New Roman"/>
        <family val="1"/>
        <charset val="204"/>
      </rPr>
      <t>(без учета внутренних оборотов),</t>
    </r>
    <r>
      <rPr>
        <sz val="14"/>
        <color rgb="FF000000"/>
        <rFont val="Times New Roman"/>
        <family val="1"/>
        <charset val="204"/>
      </rPr>
      <t xml:space="preserve"> (рублей) </t>
    </r>
  </si>
  <si>
    <r>
      <rPr>
        <b/>
        <sz val="14"/>
        <color rgb="FF000000"/>
        <rFont val="Times New Roman"/>
        <family val="1"/>
        <charset val="204"/>
      </rPr>
      <t xml:space="preserve">Объем муниципального долга </t>
    </r>
    <r>
      <rPr>
        <i/>
        <sz val="14"/>
        <color rgb="FF000000"/>
        <rFont val="Times New Roman"/>
        <family val="1"/>
        <charset val="204"/>
      </rPr>
      <t>(на конец года), из них:</t>
    </r>
  </si>
  <si>
    <r>
      <rPr>
        <b/>
        <sz val="14"/>
        <color rgb="FF000000"/>
        <rFont val="Times New Roman"/>
        <family val="1"/>
        <charset val="204"/>
      </rPr>
      <t xml:space="preserve">Уровень долговой нагрузки, </t>
    </r>
    <r>
      <rPr>
        <i/>
        <sz val="14"/>
        <color rgb="FF000000"/>
        <rFont val="Times New Roman"/>
        <family val="1"/>
        <charset val="204"/>
      </rPr>
      <t>процентов</t>
    </r>
  </si>
  <si>
    <t xml:space="preserve">ОСНОВНЫЕ ПАРАМЕТРЫ
 проекта консолидированного бюджета __________________ муниципального района (бюджета городского округа) Омской области 
на 2025 год и на плановый период 2026 и 2027 годов </t>
  </si>
  <si>
    <t xml:space="preserve">ОСНОВНЫЕ ПАРАМЕТРЫ
 проекта консолидированного бюджета Пришибского сельского поселения Азовского немецкого национального муниципального района (бюджета городского округа) Омской области 
на 2025 год и на плановый период 2026 и 2027 годов </t>
  </si>
  <si>
    <t xml:space="preserve">ОСНОВНЫЕ ПАРАМЕТРЫ
 проекта консолидированного бюджета Березовского сельского поселения Азовского немецкого национального  муниципального района (бюджета городского округа) Омской области 
на 2025 год и на плановый период 2026 и 2027 годов </t>
  </si>
  <si>
    <t xml:space="preserve">ОСНОВНЫЕ ПАРАМЕТРЫ
 проекта консолидированного бюджета Цветнопольского сельского поселения Азовского немецкого национального муниципального района (бюджета городского округа) Омской области 
на 2025 год и на плановый период 2026 и 2027 годов </t>
  </si>
  <si>
    <t>Руководитель финансового органа муниципального района (городского округа) __________________________ Лазаренко Н.А.</t>
  </si>
  <si>
    <t>Исполнитель ___________________ Лазаренко Наталья Александровна, номер телефона (83814133361)</t>
  </si>
  <si>
    <t xml:space="preserve">ОСНОВНЫЕ ПАРАМЕТРЫ
 проекта консолидированного бюджета Азовского сельского поселения Азовского немецкого национального муниципального района (бюджета городского округа) Омской области 
на 2025 год и на плановый период 2026 и 2027 годов </t>
  </si>
  <si>
    <t xml:space="preserve">ОСНОВНЫЕ ПАРАМЕТРЫ
 проекта консолидированного бюджета Азовского немецкого национального муниципального района Омской области 
на 2025 год и на плановый период 2026 и 2027 годов </t>
  </si>
  <si>
    <t xml:space="preserve">Председатель Комитета финансов и контроля Азовского ННМР Омской области </t>
  </si>
  <si>
    <t>Снежко А.П.</t>
  </si>
  <si>
    <t>Исполнитель:  Воробьева Ирина Аркадьевна, телефон (8 381 41) 2 35 79</t>
  </si>
  <si>
    <t xml:space="preserve">                     Жильцова Ирина Александровна, телефон (8 381 41) 2 23 59</t>
  </si>
  <si>
    <t xml:space="preserve">ОСНОВНЫЕ ПАРАМЕТРЫ
 проекта консолидированного бюджета Сосновского сельского поселения Азовского немецкого национального муниципального района (бюджета городского округа) Омской области 
на 2025 год и на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</si>
</sst>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&quot; &quot;;[Red]&quot;-&quot;#,##0.00&quot; &quot;"/>
    <numFmt numFmtId="165" formatCode="#,##0.0"/>
    <numFmt numFmtId="166" formatCode="#,##0.00_ ;[Red]\-#,##0.00\ "/>
    <numFmt numFmtId="167" formatCode="_-* #,##0.00\ _₽_-;\-* #,##0.00\ _₽_-;_-* \-??\ _₽_-;_-@_-"/>
    <numFmt numFmtId="168" formatCode="#,##0.00\ ;[Red]\-#,##0.00\ "/>
    <numFmt numFmtId="169" formatCode="#,##0.0_ ;[Red]\-#,##0.0\ "/>
  </numFmts>
  <fonts count="23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3333FF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rgb="FFD7E4BC"/>
      </patternFill>
    </fill>
    <fill>
      <patternFill patternType="solid">
        <fgColor rgb="FFD7E4BC"/>
        <bgColor indexed="64"/>
      </patternFill>
    </fill>
    <fill>
      <patternFill patternType="solid">
        <fgColor rgb="FFD7E4BC"/>
        <bgColor rgb="FFD9D9D9"/>
      </patternFill>
    </fill>
    <fill>
      <patternFill patternType="solid">
        <fgColor theme="0" tint="-0.14999847407452621"/>
        <bgColor rgb="FFD7E4BC"/>
      </patternFill>
    </fill>
    <fill>
      <patternFill patternType="solid">
        <fgColor theme="4" tint="0.79989013336588644"/>
        <bgColor rgb="FFD9D9D9"/>
      </patternFill>
    </fill>
    <fill>
      <patternFill patternType="solid">
        <fgColor theme="7" tint="0.59987182226020086"/>
        <bgColor rgb="FFE6B9B8"/>
      </patternFill>
    </fill>
    <fill>
      <patternFill patternType="solid">
        <fgColor theme="5" tint="0.59987182226020086"/>
        <bgColor rgb="FFCCC1DA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Border="0" applyProtection="0"/>
    <xf numFmtId="43" fontId="6" fillId="0" borderId="0" applyFont="0" applyFill="0" applyBorder="0" applyAlignment="0" applyProtection="0"/>
  </cellStyleXfs>
  <cellXfs count="237">
    <xf numFmtId="0" fontId="0" fillId="0" borderId="0" xfId="0"/>
    <xf numFmtId="0" fontId="7" fillId="0" borderId="0" xfId="0" applyFont="1" applyProtection="1"/>
    <xf numFmtId="165" fontId="2" fillId="0" borderId="5" xfId="0" applyNumberFormat="1" applyFont="1" applyFill="1" applyBorder="1" applyAlignment="1" applyProtection="1">
      <alignment horizontal="center" vertical="center" wrapText="1"/>
    </xf>
    <xf numFmtId="49" fontId="8" fillId="2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Protection="1"/>
    <xf numFmtId="49" fontId="7" fillId="3" borderId="5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Protection="1"/>
    <xf numFmtId="0" fontId="9" fillId="0" borderId="0" xfId="0" applyFont="1" applyProtection="1"/>
    <xf numFmtId="0" fontId="7" fillId="0" borderId="0" xfId="0" applyFont="1" applyFill="1" applyProtection="1"/>
    <xf numFmtId="49" fontId="7" fillId="0" borderId="5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Protection="1"/>
    <xf numFmtId="0" fontId="9" fillId="4" borderId="0" xfId="0" applyFont="1" applyFill="1" applyProtection="1"/>
    <xf numFmtId="49" fontId="7" fillId="4" borderId="5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49" fontId="8" fillId="0" borderId="5" xfId="0" applyNumberFormat="1" applyFont="1" applyBorder="1" applyAlignment="1" applyProtection="1">
      <alignment horizontal="center" vertical="center"/>
    </xf>
    <xf numFmtId="166" fontId="3" fillId="0" borderId="1" xfId="2" applyNumberFormat="1" applyFont="1" applyFill="1" applyBorder="1" applyAlignment="1" applyProtection="1">
      <alignment horizontal="center" vertical="center"/>
      <protection locked="0"/>
    </xf>
    <xf numFmtId="166" fontId="3" fillId="0" borderId="3" xfId="2" applyNumberFormat="1" applyFont="1" applyFill="1" applyBorder="1" applyAlignment="1" applyProtection="1">
      <alignment horizontal="center" vertical="center"/>
      <protection locked="0"/>
    </xf>
    <xf numFmtId="166" fontId="3" fillId="0" borderId="5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7" fillId="0" borderId="0" xfId="0" applyFont="1" applyProtection="1">
      <protection locked="0"/>
    </xf>
    <xf numFmtId="166" fontId="7" fillId="0" borderId="0" xfId="0" applyNumberFormat="1" applyFont="1" applyAlignment="1" applyProtection="1">
      <alignment horizontal="center" vertical="center"/>
    </xf>
    <xf numFmtId="0" fontId="13" fillId="0" borderId="0" xfId="0" applyFont="1" applyFill="1" applyProtection="1"/>
    <xf numFmtId="166" fontId="13" fillId="0" borderId="0" xfId="0" applyNumberFormat="1" applyFont="1" applyFill="1" applyAlignment="1" applyProtection="1">
      <alignment horizontal="right"/>
    </xf>
    <xf numFmtId="166" fontId="13" fillId="0" borderId="0" xfId="0" applyNumberFormat="1" applyFont="1" applyFill="1" applyProtection="1"/>
    <xf numFmtId="0" fontId="14" fillId="0" borderId="0" xfId="0" applyFont="1" applyFill="1" applyAlignment="1" applyProtection="1">
      <alignment horizontal="right"/>
    </xf>
    <xf numFmtId="43" fontId="13" fillId="0" borderId="0" xfId="2" applyFont="1" applyFill="1" applyProtection="1"/>
    <xf numFmtId="49" fontId="7" fillId="3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3" fillId="2" borderId="5" xfId="0" applyFont="1" applyFill="1" applyBorder="1" applyAlignment="1" applyProtection="1">
      <alignment vertical="top" wrapText="1"/>
    </xf>
    <xf numFmtId="0" fontId="2" fillId="3" borderId="5" xfId="0" applyFont="1" applyFill="1" applyBorder="1" applyAlignment="1" applyProtection="1">
      <alignment horizontal="left" vertical="top" wrapText="1"/>
    </xf>
    <xf numFmtId="0" fontId="2" fillId="0" borderId="1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 applyAlignment="1" applyProtection="1">
      <alignment horizontal="righ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</xf>
    <xf numFmtId="0" fontId="5" fillId="0" borderId="7" xfId="0" applyFont="1" applyFill="1" applyBorder="1" applyAlignment="1" applyProtection="1">
      <alignment horizontal="right" vertical="top" wrapText="1"/>
      <protection locked="0"/>
    </xf>
    <xf numFmtId="0" fontId="5" fillId="0" borderId="5" xfId="0" applyFont="1" applyFill="1" applyBorder="1" applyAlignment="1" applyProtection="1">
      <alignment horizontal="right" vertical="top" wrapText="1"/>
      <protection locked="0"/>
    </xf>
    <xf numFmtId="0" fontId="3" fillId="2" borderId="2" xfId="0" applyFont="1" applyFill="1" applyBorder="1" applyAlignment="1" applyProtection="1">
      <alignment vertical="top" wrapText="1"/>
    </xf>
    <xf numFmtId="0" fontId="2" fillId="3" borderId="2" xfId="0" applyFont="1" applyFill="1" applyBorder="1" applyAlignment="1" applyProtection="1">
      <alignment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/>
      <protection locked="0"/>
    </xf>
    <xf numFmtId="166" fontId="3" fillId="2" borderId="5" xfId="0" applyNumberFormat="1" applyFont="1" applyFill="1" applyBorder="1" applyAlignment="1" applyProtection="1">
      <alignment horizontal="center" vertical="center"/>
    </xf>
    <xf numFmtId="166" fontId="3" fillId="3" borderId="5" xfId="0" applyNumberFormat="1" applyFont="1" applyFill="1" applyBorder="1" applyAlignment="1" applyProtection="1">
      <alignment horizontal="center" vertical="center"/>
    </xf>
    <xf numFmtId="166" fontId="2" fillId="0" borderId="11" xfId="0" applyNumberFormat="1" applyFont="1" applyFill="1" applyBorder="1" applyAlignment="1" applyProtection="1">
      <alignment horizontal="center" vertical="center"/>
      <protection locked="0"/>
    </xf>
    <xf numFmtId="166" fontId="2" fillId="0" borderId="13" xfId="0" applyNumberFormat="1" applyFont="1" applyFill="1" applyBorder="1" applyAlignment="1" applyProtection="1">
      <alignment horizontal="center" vertical="center"/>
      <protection locked="0"/>
    </xf>
    <xf numFmtId="166" fontId="2" fillId="0" borderId="6" xfId="0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 applyProtection="1">
      <alignment horizontal="center" vertical="center"/>
      <protection locked="0"/>
    </xf>
    <xf numFmtId="166" fontId="5" fillId="0" borderId="5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166" fontId="2" fillId="0" borderId="5" xfId="0" applyNumberFormat="1" applyFont="1" applyFill="1" applyBorder="1" applyAlignment="1" applyProtection="1">
      <alignment horizontal="center" vertical="center"/>
      <protection locked="0"/>
    </xf>
    <xf numFmtId="166" fontId="3" fillId="3" borderId="1" xfId="0" applyNumberFormat="1" applyFont="1" applyFill="1" applyBorder="1" applyAlignment="1" applyProtection="1">
      <alignment horizontal="center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6" fontId="5" fillId="0" borderId="8" xfId="0" applyNumberFormat="1" applyFont="1" applyFill="1" applyBorder="1" applyAlignment="1" applyProtection="1">
      <alignment horizontal="center" vertical="center"/>
      <protection locked="0"/>
    </xf>
    <xf numFmtId="166" fontId="5" fillId="0" borderId="9" xfId="0" applyNumberFormat="1" applyFont="1" applyFill="1" applyBorder="1" applyAlignment="1" applyProtection="1">
      <alignment horizontal="center" vertical="center"/>
      <protection locked="0"/>
    </xf>
    <xf numFmtId="166" fontId="3" fillId="2" borderId="1" xfId="0" applyNumberFormat="1" applyFont="1" applyFill="1" applyBorder="1" applyAlignment="1" applyProtection="1">
      <alignment horizontal="center" vertical="center"/>
    </xf>
    <xf numFmtId="166" fontId="2" fillId="3" borderId="1" xfId="0" applyNumberFormat="1" applyFont="1" applyFill="1" applyBorder="1" applyAlignment="1" applyProtection="1">
      <alignment horizontal="center" vertical="center"/>
      <protection locked="0"/>
    </xf>
    <xf numFmtId="166" fontId="2" fillId="3" borderId="3" xfId="0" applyNumberFormat="1" applyFont="1" applyFill="1" applyBorder="1" applyAlignment="1" applyProtection="1">
      <alignment horizontal="center" vertical="center"/>
      <protection locked="0"/>
    </xf>
    <xf numFmtId="166" fontId="2" fillId="3" borderId="5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3" fillId="0" borderId="5" xfId="0" applyNumberFormat="1" applyFont="1" applyFill="1" applyBorder="1" applyAlignment="1" applyProtection="1">
      <alignment horizontal="center" vertical="center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right" vertical="top" wrapText="1"/>
      <protection locked="0"/>
    </xf>
    <xf numFmtId="166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5" xfId="0" applyNumberFormat="1" applyFont="1" applyFill="1" applyBorder="1" applyAlignment="1" applyProtection="1">
      <alignment horizontal="center" vertical="center"/>
      <protection locked="0"/>
    </xf>
    <xf numFmtId="166" fontId="10" fillId="0" borderId="3" xfId="0" applyNumberFormat="1" applyFont="1" applyFill="1" applyBorder="1" applyAlignment="1" applyProtection="1">
      <alignment horizontal="center" vertical="center"/>
      <protection locked="0"/>
    </xf>
    <xf numFmtId="166" fontId="5" fillId="0" borderId="11" xfId="0" applyNumberFormat="1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Fill="1" applyProtection="1"/>
    <xf numFmtId="0" fontId="3" fillId="0" borderId="5" xfId="0" applyFont="1" applyBorder="1" applyAlignment="1" applyProtection="1">
      <alignment vertical="top"/>
      <protection locked="0"/>
    </xf>
    <xf numFmtId="0" fontId="5" fillId="0" borderId="5" xfId="0" applyFont="1" applyFill="1" applyBorder="1" applyAlignment="1" applyProtection="1">
      <alignment horizontal="right" vertical="top"/>
      <protection locked="0"/>
    </xf>
    <xf numFmtId="49" fontId="5" fillId="0" borderId="5" xfId="0" applyNumberFormat="1" applyFont="1" applyFill="1" applyBorder="1" applyAlignment="1" applyProtection="1">
      <alignment horizontal="left" vertical="top"/>
    </xf>
    <xf numFmtId="49" fontId="5" fillId="0" borderId="2" xfId="0" applyNumberFormat="1" applyFont="1" applyFill="1" applyBorder="1" applyAlignment="1" applyProtection="1">
      <alignment horizontal="right" vertical="top" wrapText="1"/>
      <protection locked="0"/>
    </xf>
    <xf numFmtId="166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2" xfId="0" applyNumberFormat="1" applyFont="1" applyFill="1" applyBorder="1" applyAlignment="1" applyProtection="1">
      <alignment horizontal="right" vertical="top" wrapText="1"/>
      <protection locked="0"/>
    </xf>
    <xf numFmtId="49" fontId="15" fillId="0" borderId="2" xfId="0" applyNumberFormat="1" applyFont="1" applyFill="1" applyBorder="1" applyAlignment="1" applyProtection="1">
      <alignment horizontal="left" vertical="top" wrapText="1"/>
      <protection locked="0"/>
    </xf>
    <xf numFmtId="49" fontId="7" fillId="5" borderId="5" xfId="0" applyNumberFormat="1" applyFont="1" applyFill="1" applyBorder="1" applyAlignment="1" applyProtection="1">
      <alignment horizontal="center" vertical="center"/>
      <protection locked="0"/>
    </xf>
    <xf numFmtId="49" fontId="11" fillId="5" borderId="2" xfId="0" applyNumberFormat="1" applyFont="1" applyFill="1" applyBorder="1" applyAlignment="1" applyProtection="1">
      <alignment horizontal="left" vertical="top" wrapText="1"/>
      <protection locked="0"/>
    </xf>
    <xf numFmtId="166" fontId="5" fillId="5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protection locked="0"/>
    </xf>
    <xf numFmtId="49" fontId="7" fillId="6" borderId="5" xfId="0" applyNumberFormat="1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vertical="top" wrapText="1"/>
    </xf>
    <xf numFmtId="166" fontId="2" fillId="6" borderId="5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top" wrapText="1"/>
      <protection locked="0"/>
    </xf>
    <xf numFmtId="166" fontId="13" fillId="0" borderId="0" xfId="0" applyNumberFormat="1" applyFont="1" applyFill="1" applyAlignment="1" applyProtection="1">
      <alignment horizontal="right" vertical="center"/>
    </xf>
    <xf numFmtId="166" fontId="14" fillId="0" borderId="0" xfId="0" applyNumberFormat="1" applyFont="1" applyFill="1" applyAlignment="1" applyProtection="1">
      <alignment horizontal="right"/>
    </xf>
    <xf numFmtId="166" fontId="21" fillId="0" borderId="0" xfId="0" applyNumberFormat="1" applyFont="1" applyFill="1" applyProtection="1"/>
    <xf numFmtId="166" fontId="21" fillId="0" borderId="0" xfId="0" applyNumberFormat="1" applyFont="1" applyFill="1" applyAlignment="1" applyProtection="1">
      <alignment horizontal="right"/>
    </xf>
    <xf numFmtId="166" fontId="22" fillId="0" borderId="0" xfId="0" applyNumberFormat="1" applyFont="1" applyFill="1" applyAlignment="1" applyProtection="1">
      <alignment horizontal="right" vertical="center"/>
    </xf>
    <xf numFmtId="166" fontId="13" fillId="0" borderId="0" xfId="2" applyNumberFormat="1" applyFont="1" applyFill="1" applyAlignment="1" applyProtection="1">
      <alignment horizontal="right" vertical="center"/>
    </xf>
    <xf numFmtId="0" fontId="13" fillId="7" borderId="0" xfId="0" applyFont="1" applyFill="1" applyAlignment="1" applyProtection="1">
      <alignment horizontal="center" vertical="center"/>
    </xf>
    <xf numFmtId="49" fontId="13" fillId="7" borderId="0" xfId="0" applyNumberFormat="1" applyFont="1" applyFill="1" applyAlignment="1" applyProtection="1">
      <alignment horizontal="right" vertical="center"/>
    </xf>
    <xf numFmtId="166" fontId="13" fillId="7" borderId="0" xfId="0" applyNumberFormat="1" applyFont="1" applyFill="1" applyAlignment="1" applyProtection="1">
      <alignment horizontal="right" vertical="center"/>
    </xf>
    <xf numFmtId="43" fontId="14" fillId="0" borderId="0" xfId="2" applyFont="1" applyFill="1" applyAlignment="1" applyProtection="1">
      <alignment horizontal="right"/>
    </xf>
    <xf numFmtId="43" fontId="14" fillId="0" borderId="0" xfId="0" applyNumberFormat="1" applyFont="1" applyFill="1" applyAlignment="1" applyProtection="1">
      <alignment horizontal="right"/>
    </xf>
    <xf numFmtId="0" fontId="13" fillId="7" borderId="0" xfId="0" applyFont="1" applyFill="1" applyProtection="1"/>
    <xf numFmtId="43" fontId="14" fillId="7" borderId="0" xfId="0" applyNumberFormat="1" applyFont="1" applyFill="1" applyAlignment="1" applyProtection="1">
      <alignment horizontal="right"/>
    </xf>
    <xf numFmtId="166" fontId="13" fillId="7" borderId="0" xfId="0" applyNumberFormat="1" applyFont="1" applyFill="1" applyAlignment="1" applyProtection="1">
      <alignment horizontal="right"/>
    </xf>
    <xf numFmtId="0" fontId="14" fillId="0" borderId="0" xfId="0" applyFont="1" applyAlignment="1" applyProtection="1">
      <alignment horizontal="right" vertical="center"/>
    </xf>
    <xf numFmtId="0" fontId="21" fillId="0" borderId="0" xfId="0" applyFont="1" applyFill="1" applyProtection="1"/>
    <xf numFmtId="166" fontId="22" fillId="0" borderId="0" xfId="0" applyNumberFormat="1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right"/>
    </xf>
    <xf numFmtId="0" fontId="5" fillId="0" borderId="0" xfId="0" applyFont="1" applyAlignment="1" applyProtection="1">
      <alignment horizontal="right"/>
    </xf>
    <xf numFmtId="166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/>
    </xf>
    <xf numFmtId="49" fontId="13" fillId="4" borderId="5" xfId="0" applyNumberFormat="1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left" vertical="top" wrapText="1"/>
    </xf>
    <xf numFmtId="166" fontId="15" fillId="4" borderId="1" xfId="0" applyNumberFormat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left" vertical="top" wrapText="1"/>
    </xf>
    <xf numFmtId="166" fontId="3" fillId="4" borderId="3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top" wrapText="1"/>
    </xf>
    <xf numFmtId="166" fontId="3" fillId="0" borderId="11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top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/>
    <xf numFmtId="165" fontId="2" fillId="0" borderId="5" xfId="0" applyNumberFormat="1" applyFont="1" applyBorder="1" applyAlignment="1" applyProtection="1">
      <alignment horizontal="center" vertical="center" wrapText="1"/>
    </xf>
    <xf numFmtId="49" fontId="8" fillId="8" borderId="5" xfId="0" applyNumberFormat="1" applyFont="1" applyFill="1" applyBorder="1" applyAlignment="1" applyProtection="1">
      <alignment horizontal="center" vertical="center"/>
    </xf>
    <xf numFmtId="0" fontId="3" fillId="8" borderId="5" xfId="0" applyFont="1" applyFill="1" applyBorder="1" applyAlignment="1" applyProtection="1">
      <alignment vertical="top" wrapText="1"/>
    </xf>
    <xf numFmtId="166" fontId="3" fillId="8" borderId="5" xfId="0" applyNumberFormat="1" applyFont="1" applyFill="1" applyBorder="1" applyAlignment="1" applyProtection="1">
      <alignment horizontal="center" vertical="center"/>
    </xf>
    <xf numFmtId="0" fontId="7" fillId="8" borderId="0" xfId="0" applyFont="1" applyFill="1" applyAlignment="1" applyProtection="1"/>
    <xf numFmtId="49" fontId="7" fillId="9" borderId="5" xfId="0" applyNumberFormat="1" applyFont="1" applyFill="1" applyBorder="1" applyAlignment="1" applyProtection="1">
      <alignment horizontal="center" vertical="center"/>
    </xf>
    <xf numFmtId="0" fontId="2" fillId="9" borderId="5" xfId="0" applyFont="1" applyFill="1" applyBorder="1" applyAlignment="1" applyProtection="1">
      <alignment horizontal="left" vertical="top" wrapText="1"/>
    </xf>
    <xf numFmtId="166" fontId="3" fillId="9" borderId="5" xfId="0" applyNumberFormat="1" applyFont="1" applyFill="1" applyBorder="1" applyAlignment="1" applyProtection="1">
      <alignment horizontal="center" vertical="center"/>
    </xf>
    <xf numFmtId="0" fontId="7" fillId="9" borderId="0" xfId="0" applyFont="1" applyFill="1" applyAlignment="1" applyProtection="1"/>
    <xf numFmtId="0" fontId="2" fillId="0" borderId="14" xfId="0" applyFont="1" applyBorder="1" applyAlignment="1" applyProtection="1">
      <alignment horizontal="left" vertical="top" wrapText="1"/>
      <protection locked="0"/>
    </xf>
    <xf numFmtId="166" fontId="2" fillId="0" borderId="6" xfId="0" applyNumberFormat="1" applyFont="1" applyBorder="1" applyAlignment="1" applyProtection="1">
      <alignment horizontal="center" vertical="center"/>
      <protection locked="0"/>
    </xf>
    <xf numFmtId="166" fontId="2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right" vertical="top" wrapText="1"/>
      <protection locked="0"/>
    </xf>
    <xf numFmtId="166" fontId="5" fillId="0" borderId="5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/>
    <xf numFmtId="0" fontId="2" fillId="0" borderId="16" xfId="0" applyFont="1" applyBorder="1" applyAlignment="1" applyProtection="1">
      <alignment horizontal="left" vertical="top" wrapText="1"/>
      <protection locked="0"/>
    </xf>
    <xf numFmtId="166" fontId="2" fillId="0" borderId="5" xfId="0" applyNumberFormat="1" applyFont="1" applyBorder="1" applyAlignment="1" applyProtection="1">
      <alignment horizontal="center" vertical="center"/>
      <protection locked="0"/>
    </xf>
    <xf numFmtId="166" fontId="2" fillId="0" borderId="9" xfId="0" applyNumberFormat="1" applyFont="1" applyBorder="1" applyAlignment="1" applyProtection="1">
      <alignment horizontal="center" vertical="center"/>
      <protection locked="0"/>
    </xf>
    <xf numFmtId="0" fontId="2" fillId="9" borderId="16" xfId="0" applyFont="1" applyFill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left" vertical="top" wrapText="1"/>
    </xf>
    <xf numFmtId="166" fontId="3" fillId="0" borderId="6" xfId="0" applyNumberFormat="1" applyFont="1" applyBorder="1" applyAlignment="1" applyProtection="1">
      <alignment horizontal="center" vertical="center"/>
    </xf>
    <xf numFmtId="49" fontId="13" fillId="10" borderId="5" xfId="0" applyNumberFormat="1" applyFont="1" applyFill="1" applyBorder="1" applyAlignment="1" applyProtection="1">
      <alignment horizontal="center" vertical="center"/>
    </xf>
    <xf numFmtId="0" fontId="11" fillId="10" borderId="16" xfId="0" applyFont="1" applyFill="1" applyBorder="1" applyAlignment="1" applyProtection="1">
      <alignment horizontal="left" vertical="top" wrapText="1"/>
    </xf>
    <xf numFmtId="166" fontId="15" fillId="10" borderId="5" xfId="0" applyNumberFormat="1" applyFont="1" applyFill="1" applyBorder="1" applyAlignment="1" applyProtection="1">
      <alignment horizontal="center" vertical="center"/>
    </xf>
    <xf numFmtId="49" fontId="14" fillId="0" borderId="5" xfId="0" applyNumberFormat="1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right" vertical="top" wrapText="1"/>
      <protection locked="0"/>
    </xf>
    <xf numFmtId="166" fontId="5" fillId="0" borderId="6" xfId="0" applyNumberFormat="1" applyFont="1" applyBorder="1" applyAlignment="1" applyProtection="1">
      <alignment horizontal="center" vertical="center"/>
      <protection locked="0"/>
    </xf>
    <xf numFmtId="166" fontId="7" fillId="0" borderId="0" xfId="0" applyNumberFormat="1" applyFont="1" applyAlignment="1" applyProtection="1"/>
    <xf numFmtId="166" fontId="10" fillId="0" borderId="5" xfId="0" applyNumberFormat="1" applyFont="1" applyBorder="1" applyAlignment="1" applyProtection="1">
      <alignment horizontal="center" vertical="center"/>
      <protection locked="0"/>
    </xf>
    <xf numFmtId="166" fontId="10" fillId="0" borderId="9" xfId="0" applyNumberFormat="1" applyFont="1" applyBorder="1" applyAlignment="1" applyProtection="1">
      <alignment horizontal="center" vertical="center"/>
      <protection locked="0"/>
    </xf>
    <xf numFmtId="0" fontId="9" fillId="10" borderId="0" xfId="0" applyFont="1" applyFill="1" applyAlignment="1" applyProtection="1"/>
    <xf numFmtId="49" fontId="7" fillId="10" borderId="5" xfId="0" applyNumberFormat="1" applyFont="1" applyFill="1" applyBorder="1" applyAlignment="1" applyProtection="1">
      <alignment horizontal="center" vertical="center"/>
    </xf>
    <xf numFmtId="0" fontId="2" fillId="10" borderId="16" xfId="0" applyFont="1" applyFill="1" applyBorder="1" applyAlignment="1" applyProtection="1">
      <alignment horizontal="left" vertical="top" wrapText="1"/>
    </xf>
    <xf numFmtId="166" fontId="3" fillId="10" borderId="9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right" vertical="top" wrapText="1"/>
      <protection locked="0"/>
    </xf>
    <xf numFmtId="166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vertical="top" wrapText="1"/>
      <protection locked="0"/>
    </xf>
    <xf numFmtId="166" fontId="5" fillId="0" borderId="9" xfId="0" applyNumberFormat="1" applyFont="1" applyBorder="1" applyAlignment="1" applyProtection="1">
      <alignment horizontal="center" vertical="center"/>
      <protection locked="0"/>
    </xf>
    <xf numFmtId="0" fontId="3" fillId="8" borderId="16" xfId="0" applyFont="1" applyFill="1" applyBorder="1" applyAlignment="1" applyProtection="1">
      <alignment vertical="top" wrapText="1"/>
    </xf>
    <xf numFmtId="49" fontId="7" fillId="9" borderId="5" xfId="0" applyNumberFormat="1" applyFont="1" applyFill="1" applyBorder="1" applyAlignment="1" applyProtection="1">
      <alignment horizontal="center" vertical="center"/>
      <protection locked="0"/>
    </xf>
    <xf numFmtId="0" fontId="2" fillId="9" borderId="16" xfId="0" applyFont="1" applyFill="1" applyBorder="1" applyAlignment="1" applyProtection="1">
      <alignment vertical="top" wrapText="1"/>
      <protection locked="0"/>
    </xf>
    <xf numFmtId="166" fontId="2" fillId="9" borderId="5" xfId="0" applyNumberFormat="1" applyFont="1" applyFill="1" applyBorder="1" applyAlignment="1" applyProtection="1">
      <alignment horizontal="center" vertical="center"/>
      <protection locked="0"/>
    </xf>
    <xf numFmtId="166" fontId="2" fillId="9" borderId="9" xfId="0" applyNumberFormat="1" applyFont="1" applyFill="1" applyBorder="1" applyAlignment="1" applyProtection="1">
      <alignment horizontal="center" vertical="center"/>
      <protection locked="0"/>
    </xf>
    <xf numFmtId="49" fontId="7" fillId="11" borderId="5" xfId="0" applyNumberFormat="1" applyFont="1" applyFill="1" applyBorder="1" applyAlignment="1" applyProtection="1">
      <alignment horizontal="center" vertical="center"/>
    </xf>
    <xf numFmtId="0" fontId="2" fillId="11" borderId="5" xfId="0" applyFont="1" applyFill="1" applyBorder="1" applyAlignment="1" applyProtection="1">
      <alignment vertical="top" wrapText="1"/>
    </xf>
    <xf numFmtId="166" fontId="2" fillId="11" borderId="5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top" wrapText="1"/>
      <protection locked="0"/>
    </xf>
    <xf numFmtId="0" fontId="3" fillId="8" borderId="16" xfId="0" applyFont="1" applyFill="1" applyBorder="1" applyAlignment="1" applyProtection="1">
      <alignment horizontal="left" vertical="top" wrapText="1"/>
    </xf>
    <xf numFmtId="166" fontId="3" fillId="0" borderId="5" xfId="2" applyNumberFormat="1" applyFont="1" applyBorder="1" applyAlignment="1" applyProtection="1">
      <alignment horizontal="center" vertical="center"/>
      <protection locked="0"/>
    </xf>
    <xf numFmtId="166" fontId="3" fillId="0" borderId="9" xfId="2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vertical="top"/>
      <protection locked="0"/>
    </xf>
    <xf numFmtId="49" fontId="15" fillId="0" borderId="16" xfId="0" applyNumberFormat="1" applyFont="1" applyBorder="1" applyAlignment="1" applyProtection="1">
      <alignment horizontal="left" vertical="top" wrapText="1"/>
      <protection locked="0"/>
    </xf>
    <xf numFmtId="168" fontId="4" fillId="0" borderId="0" xfId="0" applyNumberFormat="1" applyFont="1" applyBorder="1" applyAlignment="1" applyProtection="1">
      <alignment horizontal="center" vertical="center"/>
    </xf>
    <xf numFmtId="168" fontId="5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3" fillId="0" borderId="16" xfId="0" applyFont="1" applyBorder="1" applyAlignment="1" applyProtection="1">
      <alignment vertical="top"/>
    </xf>
    <xf numFmtId="166" fontId="3" fillId="0" borderId="5" xfId="0" applyNumberFormat="1" applyFont="1" applyBorder="1" applyAlignment="1" applyProtection="1">
      <alignment horizontal="center" vertical="center"/>
    </xf>
    <xf numFmtId="166" fontId="3" fillId="0" borderId="9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left" vertical="top"/>
    </xf>
    <xf numFmtId="166" fontId="2" fillId="0" borderId="5" xfId="0" applyNumberFormat="1" applyFont="1" applyBorder="1" applyAlignment="1" applyProtection="1">
      <alignment horizontal="center" vertical="center"/>
    </xf>
    <xf numFmtId="49" fontId="7" fillId="12" borderId="5" xfId="0" applyNumberFormat="1" applyFont="1" applyFill="1" applyBorder="1" applyAlignment="1" applyProtection="1">
      <alignment horizontal="center" vertical="center"/>
      <protection locked="0"/>
    </xf>
    <xf numFmtId="49" fontId="11" fillId="12" borderId="16" xfId="0" applyNumberFormat="1" applyFont="1" applyFill="1" applyBorder="1" applyAlignment="1" applyProtection="1">
      <alignment horizontal="left" vertical="top" wrapText="1"/>
      <protection locked="0"/>
    </xf>
    <xf numFmtId="166" fontId="5" fillId="12" borderId="5" xfId="0" applyNumberFormat="1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right" vertical="top" wrapText="1"/>
      <protection locked="0"/>
    </xf>
    <xf numFmtId="49" fontId="10" fillId="0" borderId="16" xfId="0" applyNumberFormat="1" applyFont="1" applyBorder="1" applyAlignment="1" applyProtection="1">
      <alignment horizontal="right" vertical="top" wrapText="1"/>
      <protection locked="0"/>
    </xf>
    <xf numFmtId="166" fontId="14" fillId="0" borderId="0" xfId="0" applyNumberFormat="1" applyFont="1" applyAlignment="1" applyProtection="1">
      <alignment horizontal="right"/>
    </xf>
    <xf numFmtId="166" fontId="13" fillId="0" borderId="0" xfId="0" applyNumberFormat="1" applyFont="1" applyAlignment="1" applyProtection="1">
      <alignment horizontal="right" vertical="center"/>
    </xf>
    <xf numFmtId="166" fontId="13" fillId="0" borderId="0" xfId="0" applyNumberFormat="1" applyFont="1" applyAlignment="1" applyProtection="1"/>
    <xf numFmtId="0" fontId="14" fillId="0" borderId="0" xfId="0" applyFont="1" applyAlignment="1" applyProtection="1">
      <alignment horizontal="right"/>
    </xf>
    <xf numFmtId="0" fontId="13" fillId="0" borderId="0" xfId="0" applyFont="1" applyAlignment="1" applyProtection="1"/>
    <xf numFmtId="166" fontId="13" fillId="0" borderId="0" xfId="0" applyNumberFormat="1" applyFont="1" applyAlignment="1" applyProtection="1">
      <alignment horizontal="right"/>
    </xf>
    <xf numFmtId="166" fontId="21" fillId="0" borderId="0" xfId="0" applyNumberFormat="1" applyFont="1" applyAlignment="1" applyProtection="1">
      <alignment horizontal="right"/>
    </xf>
    <xf numFmtId="166" fontId="22" fillId="0" borderId="0" xfId="0" applyNumberFormat="1" applyFont="1" applyAlignment="1" applyProtection="1">
      <alignment horizontal="right" vertical="center"/>
    </xf>
    <xf numFmtId="166" fontId="21" fillId="0" borderId="0" xfId="0" applyNumberFormat="1" applyFont="1" applyAlignment="1" applyProtection="1"/>
    <xf numFmtId="166" fontId="13" fillId="0" borderId="0" xfId="2" applyNumberFormat="1" applyFont="1" applyBorder="1" applyAlignment="1" applyProtection="1">
      <alignment horizontal="right" vertical="center"/>
    </xf>
    <xf numFmtId="43" fontId="13" fillId="0" borderId="0" xfId="2" applyFont="1" applyBorder="1" applyAlignment="1" applyProtection="1"/>
    <xf numFmtId="49" fontId="13" fillId="8" borderId="0" xfId="0" applyNumberFormat="1" applyFont="1" applyFill="1" applyAlignment="1" applyProtection="1">
      <alignment horizontal="right" vertical="center"/>
    </xf>
    <xf numFmtId="166" fontId="13" fillId="8" borderId="0" xfId="0" applyNumberFormat="1" applyFont="1" applyFill="1" applyAlignment="1" applyProtection="1">
      <alignment horizontal="right" vertical="center"/>
    </xf>
    <xf numFmtId="0" fontId="13" fillId="8" borderId="0" xfId="0" applyFont="1" applyFill="1" applyAlignment="1" applyProtection="1">
      <alignment horizontal="center" vertical="center"/>
    </xf>
    <xf numFmtId="43" fontId="14" fillId="0" borderId="0" xfId="2" applyFont="1" applyBorder="1" applyAlignment="1" applyProtection="1">
      <alignment horizontal="right"/>
    </xf>
    <xf numFmtId="167" fontId="14" fillId="0" borderId="0" xfId="0" applyNumberFormat="1" applyFont="1" applyAlignment="1" applyProtection="1">
      <alignment horizontal="right"/>
    </xf>
    <xf numFmtId="167" fontId="14" fillId="8" borderId="0" xfId="0" applyNumberFormat="1" applyFont="1" applyFill="1" applyAlignment="1" applyProtection="1">
      <alignment horizontal="right"/>
    </xf>
    <xf numFmtId="166" fontId="13" fillId="8" borderId="0" xfId="0" applyNumberFormat="1" applyFont="1" applyFill="1" applyAlignment="1" applyProtection="1">
      <alignment horizontal="right"/>
    </xf>
    <xf numFmtId="0" fontId="13" fillId="8" borderId="0" xfId="0" applyFont="1" applyFill="1" applyAlignment="1" applyProtection="1"/>
    <xf numFmtId="166" fontId="22" fillId="0" borderId="0" xfId="0" applyNumberFormat="1" applyFont="1" applyAlignment="1" applyProtection="1">
      <alignment horizontal="right"/>
    </xf>
    <xf numFmtId="0" fontId="21" fillId="0" borderId="0" xfId="0" applyFont="1" applyAlignment="1" applyProtection="1"/>
    <xf numFmtId="0" fontId="21" fillId="0" borderId="0" xfId="0" applyFont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6" fontId="9" fillId="0" borderId="0" xfId="0" applyNumberFormat="1" applyFont="1" applyFill="1" applyProtection="1"/>
    <xf numFmtId="169" fontId="3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166" fontId="7" fillId="0" borderId="0" xfId="0" applyNumberFormat="1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166" fontId="7" fillId="0" borderId="0" xfId="0" applyNumberFormat="1" applyFont="1" applyFill="1" applyAlignment="1" applyProtection="1">
      <alignment horizontal="right"/>
    </xf>
  </cellXfs>
  <cellStyles count="3">
    <cellStyle name="Обычный" xfId="0" builtinId="0" customBuiltin="1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3333FF"/>
      <color rgb="FFD7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27"/>
  <sheetViews>
    <sheetView tabSelected="1" topLeftCell="A43" zoomScale="60" zoomScaleNormal="60" workbookViewId="0">
      <selection activeCell="C81" sqref="C81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6" width="7.85546875" style="1" customWidth="1"/>
    <col min="7" max="7" width="23.5703125" style="1" customWidth="1"/>
    <col min="8" max="9" width="7.85546875" style="1" customWidth="1"/>
    <col min="10" max="114" width="9.140625" style="8"/>
    <col min="115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114" ht="15.75" x14ac:dyDescent="0.25">
      <c r="A1" s="20"/>
      <c r="B1" s="20"/>
      <c r="C1" s="20"/>
      <c r="D1" s="20"/>
      <c r="E1" s="53" t="s">
        <v>66</v>
      </c>
    </row>
    <row r="2" spans="1:114" ht="59.25" customHeight="1" x14ac:dyDescent="0.25">
      <c r="A2" s="220" t="s">
        <v>177</v>
      </c>
      <c r="B2" s="220"/>
      <c r="C2" s="220"/>
      <c r="D2" s="220"/>
      <c r="E2" s="220"/>
    </row>
    <row r="3" spans="1:114" x14ac:dyDescent="0.25">
      <c r="A3" s="20"/>
      <c r="B3" s="20"/>
      <c r="C3" s="20"/>
      <c r="D3" s="20"/>
      <c r="E3" s="20"/>
    </row>
    <row r="4" spans="1:114" ht="39.75" customHeight="1" x14ac:dyDescent="0.25">
      <c r="A4" s="221" t="s">
        <v>20</v>
      </c>
      <c r="B4" s="223" t="s">
        <v>0</v>
      </c>
      <c r="C4" s="225" t="s">
        <v>178</v>
      </c>
      <c r="D4" s="226"/>
      <c r="E4" s="227"/>
    </row>
    <row r="5" spans="1:114" ht="18.75" x14ac:dyDescent="0.25">
      <c r="A5" s="222"/>
      <c r="B5" s="224"/>
      <c r="C5" s="2" t="s">
        <v>58</v>
      </c>
      <c r="D5" s="2" t="s">
        <v>59</v>
      </c>
      <c r="E5" s="2" t="s">
        <v>78</v>
      </c>
    </row>
    <row r="6" spans="1:114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114" s="4" customFormat="1" ht="18.75" x14ac:dyDescent="0.25">
      <c r="A7" s="3" t="s">
        <v>21</v>
      </c>
      <c r="B7" s="38" t="s">
        <v>1</v>
      </c>
      <c r="C7" s="54">
        <f>C8+C28</f>
        <v>894690997.44000006</v>
      </c>
      <c r="D7" s="54">
        <f>D8+D28</f>
        <v>837916886.59000003</v>
      </c>
      <c r="E7" s="54">
        <f>E8+E28</f>
        <v>835178720.77999997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</row>
    <row r="8" spans="1:114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417325701.91000003</v>
      </c>
      <c r="D8" s="55">
        <f t="shared" ref="D8:E8" si="0">D9+D11+D12+D13+D14+D15+D16+D17+D18+D19+D20+D21+D22+D23+D24+D25+D26+D27</f>
        <v>377727621.79000002</v>
      </c>
      <c r="E8" s="55">
        <f t="shared" si="0"/>
        <v>376144894.61000001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</row>
    <row r="9" spans="1:114" ht="18.75" x14ac:dyDescent="0.25">
      <c r="A9" s="33" t="s">
        <v>22</v>
      </c>
      <c r="B9" s="40" t="s">
        <v>9</v>
      </c>
      <c r="C9" s="56">
        <f>'601'!C9+'602'!C9+'603'!C9+'604'!C9+'605'!C9+'606'!C9+'608'!C9+район!C9+'607'!C9</f>
        <v>335033660</v>
      </c>
      <c r="D9" s="56">
        <f>'601'!D9+'602'!D9+'603'!D9+'604'!D9+'605'!D9+'606'!D9+'608'!D9+район!D9+'607'!D9</f>
        <v>296120220</v>
      </c>
      <c r="E9" s="56">
        <f>'601'!E9+'602'!E9+'603'!E9+'604'!E9+'605'!E9+'606'!E9+'608'!E9+район!E9+'607'!E9</f>
        <v>293358010</v>
      </c>
    </row>
    <row r="10" spans="1:114" s="7" customFormat="1" ht="18.75" x14ac:dyDescent="0.25">
      <c r="A10" s="29" t="s">
        <v>23</v>
      </c>
      <c r="B10" s="41" t="s">
        <v>10</v>
      </c>
      <c r="C10" s="56">
        <f>'601'!C10+'602'!C10+'603'!C10+'604'!C10+'605'!C10+'606'!C10+'608'!C10+район!C10+'607'!C10</f>
        <v>266100686.41</v>
      </c>
      <c r="D10" s="56">
        <f>'601'!D10+'602'!D10+'603'!D10+'604'!D10+'605'!D10+'606'!D10+'608'!D10+район!D10+'607'!D10</f>
        <v>223101580.91</v>
      </c>
      <c r="E10" s="56">
        <f>'601'!E10+'602'!E10+'603'!E10+'604'!E10+'605'!E10+'606'!E10+'608'!E10+район!E10+'607'!E10</f>
        <v>216502676.50999999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</row>
    <row r="11" spans="1:114" ht="18.75" x14ac:dyDescent="0.25">
      <c r="A11" s="28" t="s">
        <v>24</v>
      </c>
      <c r="B11" s="42" t="s">
        <v>11</v>
      </c>
      <c r="C11" s="56">
        <f>'601'!C11+'602'!C11+'603'!C11+'604'!C11+'605'!C11+'606'!C11+'608'!C11+район!C11+'607'!C11</f>
        <v>18304720</v>
      </c>
      <c r="D11" s="56">
        <f>'601'!D11+'602'!D11+'603'!D11+'604'!D11+'605'!D11+'606'!D11+'608'!D11+район!D11+'607'!D11</f>
        <v>17921520</v>
      </c>
      <c r="E11" s="56">
        <f>'601'!E11+'602'!E11+'603'!E11+'604'!E11+'605'!E11+'606'!E11+'608'!E11+район!E11+'607'!E11</f>
        <v>18738500</v>
      </c>
    </row>
    <row r="12" spans="1:114" ht="18.75" x14ac:dyDescent="0.25">
      <c r="A12" s="28" t="s">
        <v>25</v>
      </c>
      <c r="B12" s="42" t="s">
        <v>12</v>
      </c>
      <c r="C12" s="56">
        <f>'601'!C12+'602'!C12+'603'!C12+'604'!C12+'605'!C12+'606'!C12+'608'!C12+район!C12+'607'!C12</f>
        <v>15321000</v>
      </c>
      <c r="D12" s="56">
        <f>'601'!D12+'602'!D12+'603'!D12+'604'!D12+'605'!D12+'606'!D12+'608'!D12+район!D12+'607'!D12</f>
        <v>15477000</v>
      </c>
      <c r="E12" s="56">
        <f>'601'!E12+'602'!E12+'603'!E12+'604'!E12+'605'!E12+'606'!E12+'608'!E12+район!E12+'607'!E12</f>
        <v>15630000</v>
      </c>
    </row>
    <row r="13" spans="1:114" ht="18.75" x14ac:dyDescent="0.25">
      <c r="A13" s="28" t="s">
        <v>26</v>
      </c>
      <c r="B13" s="42" t="s">
        <v>162</v>
      </c>
      <c r="C13" s="56">
        <f>'601'!C13+'602'!C13+'603'!C13+'604'!C13+'605'!C13+'606'!C13+'608'!C13+район!C13+'607'!C13</f>
        <v>0</v>
      </c>
      <c r="D13" s="56">
        <f>'601'!D13+'602'!D13+'603'!D13+'604'!D13+'605'!D13+'606'!D13+'608'!D13+район!D13+'607'!D13</f>
        <v>0</v>
      </c>
      <c r="E13" s="56">
        <f>'601'!E13+'602'!E13+'603'!E13+'604'!E13+'605'!E13+'606'!E13+'608'!E13+район!E13+'607'!E13</f>
        <v>0</v>
      </c>
    </row>
    <row r="14" spans="1:114" ht="18.75" x14ac:dyDescent="0.25">
      <c r="A14" s="28" t="s">
        <v>27</v>
      </c>
      <c r="B14" s="42" t="s">
        <v>13</v>
      </c>
      <c r="C14" s="56">
        <f>'601'!C14+'602'!C14+'603'!C14+'604'!C14+'605'!C14+'606'!C14+'608'!C14+район!C14+'607'!C14</f>
        <v>8762000</v>
      </c>
      <c r="D14" s="56">
        <f>'601'!D14+'602'!D14+'603'!D14+'604'!D14+'605'!D14+'606'!D14+'608'!D14+район!D14+'607'!D14</f>
        <v>8885000</v>
      </c>
      <c r="E14" s="56">
        <f>'601'!E14+'602'!E14+'603'!E14+'604'!E14+'605'!E14+'606'!E14+'608'!E14+район!E14+'607'!E14</f>
        <v>8999000</v>
      </c>
    </row>
    <row r="15" spans="1:114" ht="18.75" x14ac:dyDescent="0.25">
      <c r="A15" s="28" t="s">
        <v>28</v>
      </c>
      <c r="B15" s="42" t="s">
        <v>14</v>
      </c>
      <c r="C15" s="56">
        <f>'601'!C15+'602'!C15+'603'!C15+'604'!C15+'605'!C15+'606'!C15+'608'!C15+район!C15+'607'!C15</f>
        <v>2659000</v>
      </c>
      <c r="D15" s="56">
        <f>'601'!D15+'602'!D15+'603'!D15+'604'!D15+'605'!D15+'606'!D15+'608'!D15+район!D15+'607'!D15</f>
        <v>2696000</v>
      </c>
      <c r="E15" s="56">
        <f>'601'!E15+'602'!E15+'603'!E15+'604'!E15+'605'!E15+'606'!E15+'608'!E15+район!E15+'607'!E15</f>
        <v>2753000</v>
      </c>
    </row>
    <row r="16" spans="1:114" ht="18.75" x14ac:dyDescent="0.25">
      <c r="A16" s="28" t="s">
        <v>29</v>
      </c>
      <c r="B16" s="42" t="s">
        <v>15</v>
      </c>
      <c r="C16" s="56">
        <f>'601'!C16+'602'!C16+'603'!C16+'604'!C16+'605'!C16+'606'!C16+'608'!C16+район!C16+'607'!C16</f>
        <v>3118000</v>
      </c>
      <c r="D16" s="56">
        <f>'601'!D16+'602'!D16+'603'!D16+'604'!D16+'605'!D16+'606'!D16+'608'!D16+район!D16+'607'!D16</f>
        <v>3118000</v>
      </c>
      <c r="E16" s="56">
        <f>'601'!E16+'602'!E16+'603'!E16+'604'!E16+'605'!E16+'606'!E16+'608'!E16+район!E16+'607'!E16</f>
        <v>3118000</v>
      </c>
    </row>
    <row r="17" spans="1:114" ht="18.75" x14ac:dyDescent="0.25">
      <c r="A17" s="28" t="s">
        <v>30</v>
      </c>
      <c r="B17" s="42" t="s">
        <v>16</v>
      </c>
      <c r="C17" s="56">
        <f>'601'!C17+'602'!C17+'603'!C17+'604'!C17+'605'!C17+'606'!C17+'608'!C17+район!C17+'607'!C17</f>
        <v>0</v>
      </c>
      <c r="D17" s="56">
        <f>'601'!D17+'602'!D17+'603'!D17+'604'!D17+'605'!D17+'606'!D17+'608'!D17+район!D17+'607'!D17</f>
        <v>0</v>
      </c>
      <c r="E17" s="56">
        <f>'601'!E17+'602'!E17+'603'!E17+'604'!E17+'605'!E17+'606'!E17+'608'!E17+район!E17+'607'!E17</f>
        <v>0</v>
      </c>
    </row>
    <row r="18" spans="1:114" ht="18.75" x14ac:dyDescent="0.25">
      <c r="A18" s="28" t="s">
        <v>31</v>
      </c>
      <c r="B18" s="42" t="s">
        <v>17</v>
      </c>
      <c r="C18" s="56">
        <f>'601'!C18+'602'!C18+'603'!C18+'604'!C18+'605'!C18+'606'!C18+'608'!C18+район!C18+'607'!C18</f>
        <v>15839000</v>
      </c>
      <c r="D18" s="56">
        <f>'601'!D18+'602'!D18+'603'!D18+'604'!D18+'605'!D18+'606'!D18+'608'!D18+район!D18+'607'!D18</f>
        <v>15839000</v>
      </c>
      <c r="E18" s="56">
        <f>'601'!E18+'602'!E18+'603'!E18+'604'!E18+'605'!E18+'606'!E18+'608'!E18+район!E18+'607'!E18</f>
        <v>15839000</v>
      </c>
    </row>
    <row r="19" spans="1:114" ht="18.75" x14ac:dyDescent="0.25">
      <c r="A19" s="28" t="s">
        <v>32</v>
      </c>
      <c r="B19" s="42" t="s">
        <v>18</v>
      </c>
      <c r="C19" s="56">
        <f>'601'!C19+'602'!C19+'603'!C19+'604'!C19+'605'!C19+'606'!C19+'608'!C19+район!C19+'607'!C19</f>
        <v>3556000</v>
      </c>
      <c r="D19" s="56">
        <f>'601'!D19+'602'!D19+'603'!D19+'604'!D19+'605'!D19+'606'!D19+'608'!D19+район!D19+'607'!D19</f>
        <v>3606000</v>
      </c>
      <c r="E19" s="56">
        <f>'601'!E19+'602'!E19+'603'!E19+'604'!E19+'605'!E19+'606'!E19+'608'!E19+район!E19+'607'!E19</f>
        <v>3642000</v>
      </c>
      <c r="F19" s="8"/>
      <c r="G19" s="8"/>
      <c r="H19" s="8"/>
      <c r="I19" s="8"/>
    </row>
    <row r="20" spans="1:114" ht="18.75" x14ac:dyDescent="0.25">
      <c r="A20" s="28" t="s">
        <v>33</v>
      </c>
      <c r="B20" s="42" t="s">
        <v>19</v>
      </c>
      <c r="C20" s="56">
        <f>'601'!C20+'602'!C20+'603'!C20+'604'!C20+'605'!C20+'606'!C20+'608'!C20+район!C20+'607'!C20</f>
        <v>0</v>
      </c>
      <c r="D20" s="56">
        <f>'601'!D20+'602'!D20+'603'!D20+'604'!D20+'605'!D20+'606'!D20+'608'!D20+район!D20+'607'!D20</f>
        <v>0</v>
      </c>
      <c r="E20" s="56">
        <f>'601'!E20+'602'!E20+'603'!E20+'604'!E20+'605'!E20+'606'!E20+'608'!E20+район!E20+'607'!E20</f>
        <v>0</v>
      </c>
      <c r="F20" s="8"/>
      <c r="G20" s="8"/>
      <c r="H20" s="8"/>
      <c r="I20" s="8"/>
    </row>
    <row r="21" spans="1:114" s="8" customFormat="1" ht="18.75" x14ac:dyDescent="0.25">
      <c r="A21" s="28" t="s">
        <v>163</v>
      </c>
      <c r="B21" s="42" t="s">
        <v>164</v>
      </c>
      <c r="C21" s="56">
        <f>'601'!C21+'602'!C21+'603'!C21+'604'!C21+'605'!C21+'606'!C21+'608'!C21+район!C21+'607'!C21</f>
        <v>12070062.49</v>
      </c>
      <c r="D21" s="56">
        <f>'601'!D21+'602'!D21+'603'!D21+'604'!D21+'605'!D21+'606'!D21+'608'!D21+район!D21+'607'!D21</f>
        <v>12046409.370000001</v>
      </c>
      <c r="E21" s="56">
        <f>'601'!E21+'602'!E21+'603'!E21+'604'!E21+'605'!E21+'606'!E21+'608'!E21+район!E21+'607'!E21</f>
        <v>12014812.190000001</v>
      </c>
    </row>
    <row r="22" spans="1:114" s="8" customFormat="1" ht="18.75" x14ac:dyDescent="0.25">
      <c r="A22" s="28" t="s">
        <v>165</v>
      </c>
      <c r="B22" s="42" t="s">
        <v>166</v>
      </c>
      <c r="C22" s="56">
        <f>'601'!C22+'602'!C22+'603'!C22+'604'!C22+'605'!C22+'606'!C22+'608'!C22+район!C22+'607'!C22</f>
        <v>35099.980000000003</v>
      </c>
      <c r="D22" s="56">
        <f>'601'!D22+'602'!D22+'603'!D22+'604'!D22+'605'!D22+'606'!D22+'608'!D22+район!D22+'607'!D22</f>
        <v>35099.980000000003</v>
      </c>
      <c r="E22" s="56">
        <f>'601'!E22+'602'!E22+'603'!E22+'604'!E22+'605'!E22+'606'!E22+'608'!E22+район!E22+'607'!E22</f>
        <v>35099.980000000003</v>
      </c>
    </row>
    <row r="23" spans="1:114" s="8" customFormat="1" ht="18.75" x14ac:dyDescent="0.25">
      <c r="A23" s="28" t="s">
        <v>167</v>
      </c>
      <c r="B23" s="42" t="s">
        <v>168</v>
      </c>
      <c r="C23" s="56">
        <f>'601'!C23+'602'!C23+'603'!C23+'604'!C23+'605'!C23+'606'!C23+'608'!C23+район!C23+'607'!C23</f>
        <v>0</v>
      </c>
      <c r="D23" s="56">
        <f>'601'!D23+'602'!D23+'603'!D23+'604'!D23+'605'!D23+'606'!D23+'608'!D23+район!D23+'607'!D23</f>
        <v>0</v>
      </c>
      <c r="E23" s="56">
        <f>'601'!E23+'602'!E23+'603'!E23+'604'!E23+'605'!E23+'606'!E23+'608'!E23+район!E23+'607'!E23</f>
        <v>0</v>
      </c>
    </row>
    <row r="24" spans="1:114" s="8" customFormat="1" ht="18.75" x14ac:dyDescent="0.25">
      <c r="A24" s="28" t="s">
        <v>169</v>
      </c>
      <c r="B24" s="42" t="s">
        <v>170</v>
      </c>
      <c r="C24" s="56">
        <f>'601'!C24+'602'!C24+'603'!C24+'604'!C24+'605'!C24+'606'!C24+'608'!C24+район!C24+'607'!C24</f>
        <v>592000</v>
      </c>
      <c r="D24" s="56">
        <f>'601'!D24+'602'!D24+'603'!D24+'604'!D24+'605'!D24+'606'!D24+'608'!D24+район!D24+'607'!D24</f>
        <v>300000</v>
      </c>
      <c r="E24" s="56">
        <f>'601'!E24+'602'!E24+'603'!E24+'604'!E24+'605'!E24+'606'!E24+'608'!E24+район!E24+'607'!E24</f>
        <v>300000</v>
      </c>
    </row>
    <row r="25" spans="1:114" s="8" customFormat="1" ht="18.75" x14ac:dyDescent="0.25">
      <c r="A25" s="28" t="s">
        <v>171</v>
      </c>
      <c r="B25" s="42" t="s">
        <v>172</v>
      </c>
      <c r="C25" s="56">
        <f>'601'!C25+'602'!C25+'603'!C25+'604'!C25+'605'!C25+'606'!C25+'608'!C25+район!C25+'607'!C25</f>
        <v>0</v>
      </c>
      <c r="D25" s="56">
        <f>'601'!D25+'602'!D25+'603'!D25+'604'!D25+'605'!D25+'606'!D25+'608'!D25+район!D25+'607'!D25</f>
        <v>0</v>
      </c>
      <c r="E25" s="56">
        <f>'601'!E25+'602'!E25+'603'!E25+'604'!E25+'605'!E25+'606'!E25+'608'!E25+район!E25+'607'!E25</f>
        <v>0</v>
      </c>
    </row>
    <row r="26" spans="1:114" s="8" customFormat="1" ht="18.75" x14ac:dyDescent="0.25">
      <c r="A26" s="28" t="s">
        <v>173</v>
      </c>
      <c r="B26" s="42" t="s">
        <v>174</v>
      </c>
      <c r="C26" s="56">
        <f>'601'!C26+'602'!C26+'603'!C26+'604'!C26+'605'!C26+'606'!C26+'608'!C26+район!C26+'607'!C26</f>
        <v>2035159.44</v>
      </c>
      <c r="D26" s="56">
        <f>'601'!D26+'602'!D26+'603'!D26+'604'!D26+'605'!D26+'606'!D26+'608'!D26+район!D26+'607'!D26</f>
        <v>1683372.44</v>
      </c>
      <c r="E26" s="56">
        <f>'601'!E26+'602'!E26+'603'!E26+'604'!E26+'605'!E26+'606'!E26+'608'!E26+район!E26+'607'!E26</f>
        <v>1717472.44</v>
      </c>
    </row>
    <row r="27" spans="1:114" s="8" customFormat="1" ht="18.75" x14ac:dyDescent="0.25">
      <c r="A27" s="28" t="s">
        <v>175</v>
      </c>
      <c r="B27" s="42" t="s">
        <v>176</v>
      </c>
      <c r="C27" s="56">
        <f>'601'!C27+'602'!C27+'603'!C27+'604'!C27+'605'!C27+'606'!C27+'608'!C27+район!C27+'607'!C27</f>
        <v>0</v>
      </c>
      <c r="D27" s="56">
        <f>'601'!D27+'602'!D27+'603'!D27+'604'!D27+'605'!D27+'606'!D27+'608'!D27+район!D27+'607'!D27</f>
        <v>0</v>
      </c>
      <c r="E27" s="56">
        <f>'601'!E27+'602'!E27+'603'!E27+'604'!E27+'605'!E27+'606'!E27+'608'!E27+район!E27+'607'!E27</f>
        <v>0</v>
      </c>
    </row>
    <row r="28" spans="1:114" s="6" customFormat="1" ht="18.75" x14ac:dyDescent="0.25">
      <c r="A28" s="5" t="s">
        <v>92</v>
      </c>
      <c r="B28" s="43" t="s">
        <v>157</v>
      </c>
      <c r="C28" s="64">
        <f>C30+C40</f>
        <v>477365295.52999997</v>
      </c>
      <c r="D28" s="64">
        <f>D30+D40</f>
        <v>460189264.80000001</v>
      </c>
      <c r="E28" s="64">
        <f>E30+E40</f>
        <v>459033826.17000002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</row>
    <row r="29" spans="1:114" s="8" customFormat="1" ht="37.5" x14ac:dyDescent="0.25">
      <c r="A29" s="9" t="s">
        <v>34</v>
      </c>
      <c r="B29" s="122" t="s">
        <v>156</v>
      </c>
      <c r="C29" s="123">
        <f>C31+C32+C33+C34+C41+C42+C43</f>
        <v>477365295.52999997</v>
      </c>
      <c r="D29" s="123">
        <f t="shared" ref="D29:E29" si="1">D31+D32+D33+D34+D41+D42+D43</f>
        <v>460189264.80000001</v>
      </c>
      <c r="E29" s="123">
        <f t="shared" si="1"/>
        <v>459033826.17000002</v>
      </c>
    </row>
    <row r="30" spans="1:114" s="8" customFormat="1" ht="18.75" x14ac:dyDescent="0.25">
      <c r="A30" s="117" t="s">
        <v>36</v>
      </c>
      <c r="B30" s="118" t="s">
        <v>55</v>
      </c>
      <c r="C30" s="119">
        <f>C31+C32+C33+C34+C35+C36+C37+C38+C39</f>
        <v>409851779.52999997</v>
      </c>
      <c r="D30" s="119">
        <f t="shared" ref="D30:E30" si="2">D31+D32+D33+D34+D35+D36+D37+D38+D39</f>
        <v>403346417.80000001</v>
      </c>
      <c r="E30" s="119">
        <f t="shared" si="2"/>
        <v>403478583.17000002</v>
      </c>
    </row>
    <row r="31" spans="1:114" s="8" customFormat="1" ht="18.75" x14ac:dyDescent="0.25">
      <c r="A31" s="74" t="s">
        <v>50</v>
      </c>
      <c r="B31" s="75" t="s">
        <v>70</v>
      </c>
      <c r="C31" s="79">
        <f>район!C31</f>
        <v>0</v>
      </c>
      <c r="D31" s="79">
        <f>район!D31</f>
        <v>0</v>
      </c>
      <c r="E31" s="79">
        <f>район!E31</f>
        <v>0</v>
      </c>
      <c r="G31" s="80"/>
      <c r="H31" s="80"/>
      <c r="I31" s="80"/>
      <c r="J31" s="80"/>
      <c r="K31" s="80"/>
      <c r="L31" s="80"/>
    </row>
    <row r="32" spans="1:114" s="8" customFormat="1" ht="18.75" x14ac:dyDescent="0.25">
      <c r="A32" s="74" t="s">
        <v>51</v>
      </c>
      <c r="B32" s="75" t="s">
        <v>71</v>
      </c>
      <c r="C32" s="79">
        <f>район!C32</f>
        <v>409851779.52999997</v>
      </c>
      <c r="D32" s="79">
        <f>район!D32</f>
        <v>403346417.80000001</v>
      </c>
      <c r="E32" s="79">
        <f>район!E32</f>
        <v>403478583.17000002</v>
      </c>
      <c r="G32" s="80"/>
      <c r="H32" s="80"/>
      <c r="I32" s="80"/>
      <c r="J32" s="80"/>
      <c r="K32" s="80"/>
      <c r="L32" s="80"/>
    </row>
    <row r="33" spans="1:114" s="8" customFormat="1" ht="18.75" x14ac:dyDescent="0.25">
      <c r="A33" s="74" t="s">
        <v>52</v>
      </c>
      <c r="B33" s="75" t="s">
        <v>72</v>
      </c>
      <c r="C33" s="79"/>
      <c r="D33" s="79">
        <f>район!D33</f>
        <v>0</v>
      </c>
      <c r="E33" s="79">
        <f>район!E33</f>
        <v>0</v>
      </c>
      <c r="G33" s="80"/>
      <c r="H33" s="80"/>
      <c r="I33" s="80"/>
      <c r="J33" s="80"/>
      <c r="K33" s="80"/>
      <c r="L33" s="80"/>
    </row>
    <row r="34" spans="1:114" s="8" customFormat="1" ht="18.75" x14ac:dyDescent="0.25">
      <c r="A34" s="74" t="s">
        <v>53</v>
      </c>
      <c r="B34" s="75" t="s">
        <v>73</v>
      </c>
      <c r="C34" s="79">
        <f>район!C34</f>
        <v>0</v>
      </c>
      <c r="D34" s="79">
        <f>район!D34</f>
        <v>0</v>
      </c>
      <c r="E34" s="79">
        <f>район!E34</f>
        <v>0</v>
      </c>
      <c r="G34" s="80"/>
      <c r="H34" s="80"/>
      <c r="I34" s="80"/>
      <c r="J34" s="80"/>
      <c r="K34" s="80"/>
      <c r="L34" s="80"/>
    </row>
    <row r="35" spans="1:114" s="11" customFormat="1" ht="18.75" x14ac:dyDescent="0.25">
      <c r="A35" s="74" t="s">
        <v>54</v>
      </c>
      <c r="B35" s="75" t="s">
        <v>96</v>
      </c>
      <c r="C35" s="79">
        <f>район!C35</f>
        <v>0</v>
      </c>
      <c r="D35" s="79">
        <f>район!D35</f>
        <v>0</v>
      </c>
      <c r="E35" s="79">
        <f>район!E35</f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</row>
    <row r="36" spans="1:114" s="11" customFormat="1" ht="18.75" x14ac:dyDescent="0.25">
      <c r="A36" s="74" t="s">
        <v>75</v>
      </c>
      <c r="B36" s="75" t="s">
        <v>63</v>
      </c>
      <c r="C36" s="79">
        <f>район!C36</f>
        <v>0</v>
      </c>
      <c r="D36" s="79">
        <f>район!D36</f>
        <v>0</v>
      </c>
      <c r="E36" s="79">
        <f>район!E36</f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</row>
    <row r="37" spans="1:114" s="11" customFormat="1" ht="37.5" x14ac:dyDescent="0.25">
      <c r="A37" s="74" t="s">
        <v>76</v>
      </c>
      <c r="B37" s="124" t="s">
        <v>158</v>
      </c>
      <c r="C37" s="79">
        <f>район!C37</f>
        <v>0</v>
      </c>
      <c r="D37" s="79">
        <f>район!D37</f>
        <v>0</v>
      </c>
      <c r="E37" s="79">
        <f>район!E37</f>
        <v>0</v>
      </c>
      <c r="F37" s="10"/>
      <c r="G37" s="218">
        <f>C7-C44</f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</row>
    <row r="38" spans="1:114" s="11" customFormat="1" ht="18.75" x14ac:dyDescent="0.25">
      <c r="A38" s="74" t="s">
        <v>77</v>
      </c>
      <c r="B38" s="75" t="s">
        <v>60</v>
      </c>
      <c r="C38" s="79">
        <f>район!C38</f>
        <v>0</v>
      </c>
      <c r="D38" s="79">
        <f>район!D38</f>
        <v>0</v>
      </c>
      <c r="E38" s="79">
        <f>район!E38</f>
        <v>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</row>
    <row r="39" spans="1:114" s="11" customFormat="1" ht="18.75" x14ac:dyDescent="0.25">
      <c r="A39" s="74" t="s">
        <v>159</v>
      </c>
      <c r="B39" s="75" t="s">
        <v>35</v>
      </c>
      <c r="C39" s="79">
        <f>район!C39</f>
        <v>0</v>
      </c>
      <c r="D39" s="79">
        <f>район!D39</f>
        <v>0</v>
      </c>
      <c r="E39" s="79">
        <f>район!E39</f>
        <v>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</row>
    <row r="40" spans="1:114" s="8" customFormat="1" ht="18.75" x14ac:dyDescent="0.25">
      <c r="A40" s="12" t="s">
        <v>41</v>
      </c>
      <c r="B40" s="120" t="s">
        <v>56</v>
      </c>
      <c r="C40" s="121">
        <f t="shared" ref="C40:E40" si="3">SUM(C41:C43)</f>
        <v>67513516</v>
      </c>
      <c r="D40" s="121">
        <f t="shared" si="3"/>
        <v>56842847</v>
      </c>
      <c r="E40" s="121">
        <f t="shared" si="3"/>
        <v>55555243</v>
      </c>
    </row>
    <row r="41" spans="1:114" s="8" customFormat="1" ht="18.75" x14ac:dyDescent="0.25">
      <c r="A41" s="30" t="s">
        <v>37</v>
      </c>
      <c r="B41" s="44" t="s">
        <v>2</v>
      </c>
      <c r="C41" s="66">
        <f>район!C41</f>
        <v>67513516</v>
      </c>
      <c r="D41" s="66">
        <f>район!D41</f>
        <v>56842847</v>
      </c>
      <c r="E41" s="66">
        <f>район!E41</f>
        <v>55555243</v>
      </c>
    </row>
    <row r="42" spans="1:114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114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114" s="4" customFormat="1" ht="18.75" x14ac:dyDescent="0.25">
      <c r="A44" s="3" t="s">
        <v>42</v>
      </c>
      <c r="B44" s="46" t="s">
        <v>4</v>
      </c>
      <c r="C44" s="68">
        <f t="shared" ref="C44:E44" si="4">C45+C46</f>
        <v>894690997.44000006</v>
      </c>
      <c r="D44" s="68">
        <f t="shared" si="4"/>
        <v>837916886.58999991</v>
      </c>
      <c r="E44" s="68">
        <f t="shared" si="4"/>
        <v>835178720.77999997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</row>
    <row r="45" spans="1:114" ht="18.75" x14ac:dyDescent="0.25">
      <c r="A45" s="27" t="s">
        <v>43</v>
      </c>
      <c r="B45" s="47" t="s">
        <v>5</v>
      </c>
      <c r="C45" s="69">
        <f>'601'!C45+'602'!C45+'603'!C45+'604'!C45+'605'!C45+'606'!C45+'608'!C45+район!C45+'607'!C45</f>
        <v>884628497.44000006</v>
      </c>
      <c r="D45" s="69">
        <f>'601'!D45+'602'!D45+'603'!D45+'604'!D45+'605'!D45+'606'!D45+'608'!D45+район!D45+'607'!D45</f>
        <v>832874386.58999991</v>
      </c>
      <c r="E45" s="69">
        <f>'601'!E45+'602'!E45+'603'!E45+'604'!E45+'605'!E45+'606'!E45+'608'!E45+район!E45+'607'!E45</f>
        <v>830136220.77999997</v>
      </c>
      <c r="F45" s="8"/>
      <c r="G45" s="8"/>
      <c r="H45" s="8"/>
      <c r="I45" s="8"/>
    </row>
    <row r="46" spans="1:114" ht="18.75" x14ac:dyDescent="0.25">
      <c r="A46" s="27" t="s">
        <v>44</v>
      </c>
      <c r="B46" s="47" t="s">
        <v>6</v>
      </c>
      <c r="C46" s="69">
        <f>'601'!C46+'602'!C46+'603'!C46+'604'!C46+'605'!C46+'606'!C46+'608'!C46+район!C46+'607'!C46</f>
        <v>10062500</v>
      </c>
      <c r="D46" s="69">
        <f>'601'!D46+'602'!D46+'603'!D46+'604'!D46+'605'!D46+'606'!D46+'608'!D46+район!D46</f>
        <v>5042500</v>
      </c>
      <c r="E46" s="69">
        <f>'601'!E46+'602'!E46+'603'!E46+'604'!E46+'605'!E46+'606'!E46+'608'!E46+район!E46</f>
        <v>5042500</v>
      </c>
      <c r="F46" s="8"/>
      <c r="G46" s="8"/>
      <c r="H46" s="8"/>
      <c r="I46" s="8"/>
    </row>
    <row r="47" spans="1:114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894690997.44000018</v>
      </c>
      <c r="D47" s="94">
        <f>SUM(D48:D62)</f>
        <v>837916886.59000003</v>
      </c>
      <c r="E47" s="94">
        <f>SUM(E48:E62)</f>
        <v>835178720.77999997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</row>
    <row r="48" spans="1:114" s="8" customFormat="1" ht="18.75" x14ac:dyDescent="0.25">
      <c r="A48" s="31" t="s">
        <v>99</v>
      </c>
      <c r="B48" s="95" t="s">
        <v>100</v>
      </c>
      <c r="C48" s="63">
        <f>район!C48+'601'!C48+'602'!C48+'603'!C48+'604'!C48+'605'!C48+'606'!C48+'607'!C48+'608'!C48</f>
        <v>158999480.51999998</v>
      </c>
      <c r="D48" s="63">
        <f>район!D48+'601'!D48+'602'!D48+'603'!D48+'604'!D48+'605'!D48+'606'!D48+'607'!D48+'608'!D48</f>
        <v>132202893.73999999</v>
      </c>
      <c r="E48" s="63">
        <f>район!E48+'601'!E48+'602'!E48+'603'!E48+'604'!E48+'605'!E48+'606'!E48+'607'!E48+'608'!E48</f>
        <v>126296466.78</v>
      </c>
    </row>
    <row r="49" spans="1:114" s="8" customFormat="1" ht="18.75" x14ac:dyDescent="0.25">
      <c r="A49" s="31" t="s">
        <v>101</v>
      </c>
      <c r="B49" s="95" t="s">
        <v>102</v>
      </c>
      <c r="C49" s="63">
        <f>район!C49+'601'!C49+'602'!C49+'603'!C49+'604'!C49+'605'!C49+'606'!C49+'607'!C49+'608'!C49</f>
        <v>0</v>
      </c>
      <c r="D49" s="63">
        <f>район!D49+'601'!D49+'602'!D49+'603'!D49+'604'!D49+'605'!D49+'606'!D49+'607'!D49+'608'!D49</f>
        <v>0</v>
      </c>
      <c r="E49" s="63">
        <f>район!E49+'601'!E49+'602'!E49+'603'!E49+'604'!E49+'605'!E49+'606'!E49+'607'!E49+'608'!E49</f>
        <v>0</v>
      </c>
    </row>
    <row r="50" spans="1:114" s="8" customFormat="1" ht="18.75" x14ac:dyDescent="0.25">
      <c r="A50" s="31" t="s">
        <v>103</v>
      </c>
      <c r="B50" s="95" t="s">
        <v>104</v>
      </c>
      <c r="C50" s="63">
        <f>район!C50+'601'!C50+'602'!C50+'603'!C50+'604'!C50+'605'!C50+'606'!C50+'607'!C50+'608'!C50</f>
        <v>2884000</v>
      </c>
      <c r="D50" s="63">
        <f>район!D50+'601'!D50+'602'!D50+'603'!D50+'604'!D50+'605'!D50+'606'!D50+'607'!D50+'608'!D50</f>
        <v>3669000</v>
      </c>
      <c r="E50" s="63">
        <f>район!E50+'601'!E50+'602'!E50+'603'!E50+'604'!E50+'605'!E50+'606'!E50+'607'!E50+'608'!E50</f>
        <v>3669000</v>
      </c>
    </row>
    <row r="51" spans="1:114" s="8" customFormat="1" ht="18.75" x14ac:dyDescent="0.25">
      <c r="A51" s="31" t="s">
        <v>105</v>
      </c>
      <c r="B51" s="95" t="s">
        <v>106</v>
      </c>
      <c r="C51" s="63">
        <f>район!C51+'601'!C51+'602'!C51+'603'!C51+'604'!C51+'605'!C51+'606'!C51+'607'!C51+'608'!C51</f>
        <v>33742498.590000004</v>
      </c>
      <c r="D51" s="63">
        <f>район!D51+'601'!D51+'602'!D51+'603'!D51+'604'!D51+'605'!D51+'606'!D51+'607'!D51+'608'!D51</f>
        <v>22135871.98</v>
      </c>
      <c r="E51" s="63">
        <f>район!E51+'601'!E51+'602'!E51+'603'!E51+'604'!E51+'605'!E51+'606'!E51+'607'!E51+'608'!E51</f>
        <v>22734622.670000002</v>
      </c>
    </row>
    <row r="52" spans="1:114" s="8" customFormat="1" ht="18.75" x14ac:dyDescent="0.25">
      <c r="A52" s="31" t="s">
        <v>107</v>
      </c>
      <c r="B52" s="95" t="s">
        <v>109</v>
      </c>
      <c r="C52" s="63">
        <f>район!C52+'601'!C52+'602'!C52+'603'!C52+'604'!C52+'605'!C52+'606'!C52+'607'!C52+'608'!C52</f>
        <v>35419537.020000003</v>
      </c>
      <c r="D52" s="63">
        <f>район!D52+'601'!D52+'602'!D52+'603'!D52+'604'!D52+'605'!D52+'606'!D52+'607'!D52+'608'!D52</f>
        <v>28277938.710000005</v>
      </c>
      <c r="E52" s="63">
        <f>район!E52+'601'!E52+'602'!E52+'603'!E52+'604'!E52+'605'!E52+'606'!E52+'607'!E52+'608'!E52</f>
        <v>17894404.910000004</v>
      </c>
    </row>
    <row r="53" spans="1:114" s="8" customFormat="1" ht="18.75" x14ac:dyDescent="0.25">
      <c r="A53" s="31" t="s">
        <v>108</v>
      </c>
      <c r="B53" s="95" t="s">
        <v>111</v>
      </c>
      <c r="C53" s="63">
        <f>район!C53+'601'!C53+'602'!C53+'603'!C53+'604'!C53+'605'!C53+'606'!C53+'607'!C53+'608'!C53</f>
        <v>1067000</v>
      </c>
      <c r="D53" s="63">
        <f>район!D53+'601'!D53+'602'!D53+'603'!D53+'604'!D53+'605'!D53+'606'!D53+'607'!D53+'608'!D53</f>
        <v>1067000</v>
      </c>
      <c r="E53" s="63">
        <f>район!E53+'601'!E53+'602'!E53+'603'!E53+'604'!E53+'605'!E53+'606'!E53+'607'!E53+'608'!E53</f>
        <v>1067000</v>
      </c>
    </row>
    <row r="54" spans="1:114" s="8" customFormat="1" ht="18.75" x14ac:dyDescent="0.25">
      <c r="A54" s="31" t="s">
        <v>110</v>
      </c>
      <c r="B54" s="95" t="s">
        <v>113</v>
      </c>
      <c r="C54" s="63">
        <f>район!C54+'601'!C54+'602'!C54+'603'!C54+'604'!C54+'605'!C54+'606'!C54+'607'!C54+'608'!C54</f>
        <v>571157588.57000017</v>
      </c>
      <c r="D54" s="63">
        <f>район!D54+'601'!D54+'602'!D54+'603'!D54+'604'!D54+'605'!D54+'606'!D54+'607'!D54+'608'!D54</f>
        <v>558972320</v>
      </c>
      <c r="E54" s="63">
        <f>район!E54+'601'!E54+'602'!E54+'603'!E54+'604'!E54+'605'!E54+'606'!E54+'607'!E54+'608'!E54</f>
        <v>558972320</v>
      </c>
    </row>
    <row r="55" spans="1:114" s="8" customFormat="1" ht="18.75" x14ac:dyDescent="0.25">
      <c r="A55" s="31" t="s">
        <v>112</v>
      </c>
      <c r="B55" s="95" t="s">
        <v>115</v>
      </c>
      <c r="C55" s="63">
        <f>район!C55+'601'!C55+'602'!C55+'603'!C55+'604'!C55+'605'!C55+'606'!C55+'607'!C55+'608'!C55</f>
        <v>51358922.600000001</v>
      </c>
      <c r="D55" s="63">
        <f>район!D55+'601'!D55+'602'!D55+'603'!D55+'604'!D55+'605'!D55+'606'!D55+'607'!D55+'608'!D55</f>
        <v>37459769.850000001</v>
      </c>
      <c r="E55" s="63">
        <f>район!E55+'601'!E55+'602'!E55+'603'!E55+'604'!E55+'605'!E55+'606'!E55+'607'!E55+'608'!E55</f>
        <v>29601800.23</v>
      </c>
    </row>
    <row r="56" spans="1:114" s="8" customFormat="1" ht="18.75" x14ac:dyDescent="0.25">
      <c r="A56" s="31" t="s">
        <v>114</v>
      </c>
      <c r="B56" s="95" t="s">
        <v>117</v>
      </c>
      <c r="C56" s="63">
        <f>район!C56+'601'!C56+'602'!C56+'603'!C56+'604'!C56+'605'!C56+'606'!C56+'607'!C56+'608'!C56</f>
        <v>0</v>
      </c>
      <c r="D56" s="63">
        <f>район!D56+'601'!D56+'602'!D56+'603'!D56+'604'!D56+'605'!D56+'606'!D56+'607'!D56+'608'!D56</f>
        <v>0</v>
      </c>
      <c r="E56" s="63">
        <f>район!E56+'601'!E56+'602'!E56+'603'!E56+'604'!E56+'605'!E56+'606'!E56+'607'!E56+'608'!E56</f>
        <v>0</v>
      </c>
      <c r="G56" s="80"/>
    </row>
    <row r="57" spans="1:114" s="8" customFormat="1" ht="18.75" x14ac:dyDescent="0.25">
      <c r="A57" s="31" t="s">
        <v>116</v>
      </c>
      <c r="B57" s="95" t="s">
        <v>119</v>
      </c>
      <c r="C57" s="63">
        <f>район!C57+'601'!C57+'602'!C57+'603'!C57+'604'!C57+'605'!C57+'606'!C57+'607'!C57+'608'!C57</f>
        <v>18667929.559999999</v>
      </c>
      <c r="D57" s="63">
        <f>район!D57+'601'!D57+'602'!D57+'603'!D57+'604'!D57+'605'!D57+'606'!D57+'607'!D57+'608'!D57</f>
        <v>18685729.559999999</v>
      </c>
      <c r="E57" s="63">
        <f>район!E57+'601'!E57+'602'!E57+'603'!E57+'604'!E57+'605'!E57+'606'!E57+'607'!E57+'608'!E57</f>
        <v>18685729.559999999</v>
      </c>
    </row>
    <row r="58" spans="1:114" s="8" customFormat="1" ht="18.75" x14ac:dyDescent="0.25">
      <c r="A58" s="31" t="s">
        <v>118</v>
      </c>
      <c r="B58" s="95" t="s">
        <v>121</v>
      </c>
      <c r="C58" s="63">
        <f>район!C58+'601'!C58+'602'!C58+'603'!C58+'604'!C58+'605'!C58+'606'!C58+'607'!C58+'608'!C58</f>
        <v>21394040.579999998</v>
      </c>
      <c r="D58" s="63">
        <f>район!D58+'601'!D58+'602'!D58+'603'!D58+'604'!D58+'605'!D58+'606'!D58+'607'!D58+'608'!D58</f>
        <v>14498440.58</v>
      </c>
      <c r="E58" s="63">
        <f>район!E58+'601'!E58+'602'!E58+'603'!E58+'604'!E58+'605'!E58+'606'!E58+'607'!E58+'608'!E58</f>
        <v>14498440.58</v>
      </c>
    </row>
    <row r="59" spans="1:114" s="8" customFormat="1" ht="18.75" x14ac:dyDescent="0.25">
      <c r="A59" s="31" t="s">
        <v>120</v>
      </c>
      <c r="B59" s="95" t="s">
        <v>123</v>
      </c>
      <c r="C59" s="63">
        <f>район!C59+'601'!C59+'602'!C59+'603'!C59+'604'!C59+'605'!C59+'606'!C59+'607'!C59+'608'!C59</f>
        <v>0</v>
      </c>
      <c r="D59" s="63">
        <f>район!D59+'601'!D59+'602'!D59+'603'!D59+'604'!D59+'605'!D59+'606'!D59+'607'!D59+'608'!D59</f>
        <v>0</v>
      </c>
      <c r="E59" s="63">
        <f>район!E59+'601'!E59+'602'!E59+'603'!E59+'604'!E59+'605'!E59+'606'!E59+'607'!E59+'608'!E59</f>
        <v>0</v>
      </c>
    </row>
    <row r="60" spans="1:114" s="8" customFormat="1" ht="18.75" x14ac:dyDescent="0.25">
      <c r="A60" s="31" t="s">
        <v>122</v>
      </c>
      <c r="B60" s="95" t="s">
        <v>125</v>
      </c>
      <c r="C60" s="63">
        <f>район!C60+'601'!C60+'602'!C60+'603'!C60+'604'!C60+'605'!C60+'606'!C60+'607'!C60+'608'!C60</f>
        <v>0</v>
      </c>
      <c r="D60" s="63">
        <f>район!D60+'601'!D60+'602'!D60+'603'!D60+'604'!D60+'605'!D60+'606'!D60+'607'!D60+'608'!D60</f>
        <v>0</v>
      </c>
      <c r="E60" s="63">
        <f>район!E60+'601'!E60+'602'!E60+'603'!E60+'604'!E60+'605'!E60+'606'!E60+'607'!E60+'608'!E60</f>
        <v>0</v>
      </c>
    </row>
    <row r="61" spans="1:114" s="8" customFormat="1" ht="37.5" x14ac:dyDescent="0.25">
      <c r="A61" s="31" t="s">
        <v>124</v>
      </c>
      <c r="B61" s="95" t="s">
        <v>127</v>
      </c>
      <c r="C61" s="63">
        <f>район!C61+'601'!C61+'602'!C61+'603'!C61+'604'!C61+'605'!C61+'606'!C61+'607'!C61+'608'!C61</f>
        <v>0</v>
      </c>
      <c r="D61" s="63">
        <f>район!D61+'601'!D61+'602'!D61+'603'!D61+'604'!D61+'605'!D61+'606'!D61+'607'!D61+'608'!D61</f>
        <v>0</v>
      </c>
      <c r="E61" s="63">
        <f>район!E61+'601'!E61+'602'!E61+'603'!E61+'604'!E61+'605'!E61+'606'!E61+'607'!E61+'608'!E61</f>
        <v>0</v>
      </c>
    </row>
    <row r="62" spans="1:114" s="8" customFormat="1" ht="18.75" x14ac:dyDescent="0.25">
      <c r="A62" s="31" t="s">
        <v>126</v>
      </c>
      <c r="B62" s="95" t="s">
        <v>128</v>
      </c>
      <c r="C62" s="63" t="s">
        <v>61</v>
      </c>
      <c r="D62" s="63">
        <f>'601'!D62+'602'!D62+'603'!D62+'604'!D62+'605'!D62+'606'!D62+'608'!D62+район!D62+'607'!D62</f>
        <v>20947922.170000006</v>
      </c>
      <c r="E62" s="63">
        <f>'601'!E62+'602'!E62+'603'!E62+'604'!E62+'605'!E62+'606'!E62+'608'!E62+район!E62+'607'!E62</f>
        <v>41758936.050000004</v>
      </c>
    </row>
    <row r="63" spans="1:114" s="4" customFormat="1" ht="37.5" x14ac:dyDescent="0.25">
      <c r="A63" s="3" t="s">
        <v>45</v>
      </c>
      <c r="B63" s="48" t="s">
        <v>7</v>
      </c>
      <c r="C63" s="68">
        <f>C7-C44</f>
        <v>0</v>
      </c>
      <c r="D63" s="219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</row>
    <row r="64" spans="1:114" ht="18.75" x14ac:dyDescent="0.25">
      <c r="A64" s="32" t="s">
        <v>46</v>
      </c>
      <c r="B64" s="81" t="s">
        <v>179</v>
      </c>
      <c r="C64" s="16"/>
      <c r="D64" s="17"/>
      <c r="E64" s="18"/>
      <c r="F64" s="8"/>
      <c r="G64" s="8"/>
      <c r="H64" s="8"/>
      <c r="I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7"/>
      <c r="F66" s="8"/>
      <c r="G66" s="8"/>
      <c r="H66" s="8"/>
      <c r="I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180</v>
      </c>
      <c r="C68" s="72">
        <f>(C64/(C8-C10))*100</f>
        <v>0</v>
      </c>
      <c r="D68" s="65">
        <f>(D64/(D8-D10))*100</f>
        <v>0</v>
      </c>
      <c r="E68" s="73">
        <f>(E64/(E8-E10))*100</f>
        <v>0</v>
      </c>
      <c r="F68" s="8"/>
      <c r="G68" s="8"/>
      <c r="H68" s="8"/>
      <c r="I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61530701.120000005</v>
      </c>
      <c r="D70" s="90">
        <f t="shared" ref="D70:E70" si="5">D71+D72+D73</f>
        <v>33785637</v>
      </c>
      <c r="E70" s="90">
        <f t="shared" si="5"/>
        <v>33785637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>
        <v>42232046</v>
      </c>
      <c r="D71" s="60">
        <v>33785637</v>
      </c>
      <c r="E71" s="60">
        <v>33785637</v>
      </c>
    </row>
    <row r="72" spans="1:25" s="8" customFormat="1" ht="56.25" x14ac:dyDescent="0.25">
      <c r="A72" s="31" t="s">
        <v>89</v>
      </c>
      <c r="B72" s="84" t="s">
        <v>74</v>
      </c>
      <c r="C72" s="59">
        <v>19298655.120000001</v>
      </c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193</v>
      </c>
      <c r="C75" s="91"/>
      <c r="D75" s="19" t="s">
        <v>194</v>
      </c>
      <c r="E75" s="19"/>
    </row>
    <row r="76" spans="1:25" ht="18.75" x14ac:dyDescent="0.25">
      <c r="A76" s="50"/>
      <c r="B76" s="51"/>
      <c r="C76" s="52"/>
      <c r="D76" s="19"/>
      <c r="E76" s="19"/>
    </row>
    <row r="77" spans="1:25" ht="18.75" x14ac:dyDescent="0.25">
      <c r="A77" s="50"/>
      <c r="B77" s="228" t="s">
        <v>195</v>
      </c>
      <c r="C77" s="228"/>
      <c r="D77" s="19"/>
      <c r="E77" s="19"/>
    </row>
    <row r="78" spans="1:25" ht="18.75" x14ac:dyDescent="0.25">
      <c r="B78" s="228" t="s">
        <v>196</v>
      </c>
      <c r="C78" s="228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customHeight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34"/>
      <c r="K92" s="234"/>
      <c r="L92" s="234"/>
      <c r="M92" s="234"/>
      <c r="N92" s="234"/>
      <c r="O92" s="234"/>
    </row>
    <row r="93" spans="2:15" s="22" customFormat="1" ht="15" hidden="1" customHeight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t="15" hidden="1" customHeight="1" x14ac:dyDescent="0.25">
      <c r="B94" s="97" t="s">
        <v>130</v>
      </c>
      <c r="C94" s="96">
        <f>C8-C9-C11-C12-C14-C15-C16-C17-C18-C19-C20-C21-C22-C23-C24-C25-C26-C27</f>
        <v>2.6077032089233398E-8</v>
      </c>
      <c r="D94" s="96">
        <f t="shared" ref="D94:E94" si="6">D8-D9-D11-D12-D14-D15-D16-D17-D18-D19-D20-D21-D22-D23-D24-D25-D26-D27</f>
        <v>2.0489096641540527E-8</v>
      </c>
      <c r="E94" s="96">
        <f t="shared" si="6"/>
        <v>1.3038516044616699E-8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t="15" hidden="1" customHeight="1" x14ac:dyDescent="0.25">
      <c r="B95" s="97" t="s">
        <v>131</v>
      </c>
      <c r="C95" s="96">
        <f t="shared" ref="C95:E95" si="7">C28-C30-C40</f>
        <v>0</v>
      </c>
      <c r="D95" s="96">
        <f t="shared" si="7"/>
        <v>0</v>
      </c>
      <c r="E95" s="96">
        <f t="shared" si="7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t="15" hidden="1" customHeight="1" x14ac:dyDescent="0.25">
      <c r="B96" s="25" t="s">
        <v>132</v>
      </c>
      <c r="C96" s="96">
        <f t="shared" ref="C96:E96" si="8">C30-C31-C32-C33-C34-C35-C36-C37-C38-C39</f>
        <v>0</v>
      </c>
      <c r="D96" s="96">
        <f t="shared" si="8"/>
        <v>0</v>
      </c>
      <c r="E96" s="96">
        <f t="shared" si="8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14" s="22" customFormat="1" ht="15" hidden="1" customHeight="1" x14ac:dyDescent="0.25">
      <c r="B97" s="25" t="s">
        <v>133</v>
      </c>
      <c r="C97" s="96">
        <f>C40-C41-C42-C43</f>
        <v>0</v>
      </c>
      <c r="D97" s="96">
        <f t="shared" ref="D97:E97" si="9">D40-D41-D42-D43</f>
        <v>0</v>
      </c>
      <c r="E97" s="96">
        <f t="shared" si="9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14" s="24" customFormat="1" ht="15" hidden="1" customHeight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14" s="98" customFormat="1" ht="14.25" hidden="1" customHeight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14" s="98" customFormat="1" ht="14.25" hidden="1" customHeight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14" s="98" customFormat="1" ht="14.25" hidden="1" customHeight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14" s="98" customFormat="1" ht="14.25" hidden="1" customHeight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14" s="24" customFormat="1" ht="15" hidden="1" customHeight="1" x14ac:dyDescent="0.25">
      <c r="B103" s="97" t="s">
        <v>161</v>
      </c>
      <c r="C103" s="96">
        <f t="shared" ref="C103:E104" si="10">C31-C99</f>
        <v>0</v>
      </c>
      <c r="D103" s="96">
        <f t="shared" si="10"/>
        <v>0</v>
      </c>
      <c r="E103" s="96">
        <f t="shared" si="10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14" s="24" customFormat="1" ht="15" hidden="1" customHeight="1" x14ac:dyDescent="0.25">
      <c r="B104" s="97" t="s">
        <v>137</v>
      </c>
      <c r="C104" s="96">
        <f t="shared" si="10"/>
        <v>409851779.52999997</v>
      </c>
      <c r="D104" s="96">
        <f t="shared" si="10"/>
        <v>403346417.80000001</v>
      </c>
      <c r="E104" s="96">
        <f t="shared" si="10"/>
        <v>403478583.17000002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14" s="24" customFormat="1" ht="15" hidden="1" customHeight="1" x14ac:dyDescent="0.25">
      <c r="B105" s="97" t="s">
        <v>138</v>
      </c>
      <c r="C105" s="96">
        <f>C41-C101</f>
        <v>67513516</v>
      </c>
      <c r="D105" s="96">
        <f t="shared" ref="D105:E106" si="11">D41-D101</f>
        <v>56842847</v>
      </c>
      <c r="E105" s="96">
        <f t="shared" si="11"/>
        <v>55555243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14" s="22" customFormat="1" ht="15" hidden="1" customHeight="1" x14ac:dyDescent="0.25">
      <c r="B106" s="97" t="s">
        <v>139</v>
      </c>
      <c r="C106" s="96">
        <f>C42-C102</f>
        <v>0</v>
      </c>
      <c r="D106" s="96">
        <f t="shared" si="11"/>
        <v>0</v>
      </c>
      <c r="E106" s="96">
        <f t="shared" si="11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14" s="26" customFormat="1" ht="15" hidden="1" customHeight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14" s="102" customFormat="1" ht="15" hidden="1" customHeight="1" x14ac:dyDescent="0.25">
      <c r="B108" s="103" t="s">
        <v>140</v>
      </c>
      <c r="C108" s="104">
        <f t="shared" ref="C108:E108" si="12">C29-C31-C32-C33-C34-C41-C42-C43</f>
        <v>0</v>
      </c>
      <c r="D108" s="104">
        <f t="shared" si="12"/>
        <v>0</v>
      </c>
      <c r="E108" s="104">
        <f t="shared" si="12"/>
        <v>0</v>
      </c>
      <c r="F108" s="104"/>
      <c r="G108" s="104"/>
      <c r="H108" s="104"/>
      <c r="I108" s="104"/>
      <c r="J108" s="96"/>
      <c r="K108" s="96"/>
      <c r="L108" s="96"/>
      <c r="M108" s="96"/>
      <c r="N108" s="96"/>
      <c r="O108" s="96"/>
      <c r="P108" s="235"/>
      <c r="Q108" s="235"/>
      <c r="R108" s="235"/>
      <c r="S108" s="235"/>
      <c r="T108" s="235"/>
      <c r="U108" s="235"/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235"/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  <c r="BF108" s="235"/>
      <c r="BG108" s="235"/>
      <c r="BH108" s="235"/>
      <c r="BI108" s="235"/>
      <c r="BJ108" s="235"/>
      <c r="BK108" s="235"/>
      <c r="BL108" s="235"/>
      <c r="BM108" s="235"/>
      <c r="BN108" s="235"/>
      <c r="BO108" s="235"/>
      <c r="BP108" s="235"/>
      <c r="BQ108" s="235"/>
      <c r="BR108" s="235"/>
      <c r="BS108" s="235"/>
      <c r="BT108" s="235"/>
      <c r="BU108" s="235"/>
      <c r="BV108" s="235"/>
      <c r="BW108" s="235"/>
      <c r="BX108" s="235"/>
      <c r="BY108" s="235"/>
      <c r="BZ108" s="235"/>
      <c r="CA108" s="235"/>
      <c r="CB108" s="235"/>
      <c r="CC108" s="235"/>
      <c r="CD108" s="235"/>
      <c r="CE108" s="235"/>
      <c r="CF108" s="235"/>
      <c r="CG108" s="235"/>
      <c r="CH108" s="235"/>
      <c r="CI108" s="235"/>
      <c r="CJ108" s="235"/>
      <c r="CK108" s="235"/>
      <c r="CL108" s="235"/>
      <c r="CM108" s="235"/>
      <c r="CN108" s="235"/>
      <c r="CO108" s="235"/>
      <c r="CP108" s="235"/>
      <c r="CQ108" s="235"/>
      <c r="CR108" s="235"/>
      <c r="CS108" s="235"/>
      <c r="CT108" s="235"/>
      <c r="CU108" s="235"/>
      <c r="CV108" s="235"/>
      <c r="CW108" s="235"/>
      <c r="CX108" s="235"/>
      <c r="CY108" s="235"/>
      <c r="CZ108" s="235"/>
      <c r="DA108" s="235"/>
      <c r="DB108" s="235"/>
      <c r="DC108" s="235"/>
      <c r="DD108" s="235"/>
      <c r="DE108" s="235"/>
      <c r="DF108" s="235"/>
      <c r="DG108" s="235"/>
      <c r="DH108" s="235"/>
      <c r="DI108" s="235"/>
      <c r="DJ108" s="235"/>
    </row>
    <row r="109" spans="2:114" s="22" customFormat="1" ht="23.25" hidden="1" customHeight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14" s="22" customFormat="1" ht="15" hidden="1" customHeight="1" x14ac:dyDescent="0.25">
      <c r="B110" s="105" t="s">
        <v>141</v>
      </c>
      <c r="C110" s="23">
        <f>C44-C45-C46</f>
        <v>0</v>
      </c>
      <c r="D110" s="23">
        <f t="shared" ref="D110:E110" si="13">D44-D45-D46</f>
        <v>0</v>
      </c>
      <c r="E110" s="23">
        <f t="shared" si="13"/>
        <v>0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14" s="22" customFormat="1" ht="15" hidden="1" customHeight="1" x14ac:dyDescent="0.25">
      <c r="B111" s="105" t="s">
        <v>142</v>
      </c>
      <c r="C111" s="23">
        <f>C47-C48-C49-C50-C51-C52-C53-C54-C55-C56-C57-C58-C59-C60-C61</f>
        <v>1.1175870895385742E-8</v>
      </c>
      <c r="D111" s="23">
        <f>D47-D48-D49-D50-D51-D52-D53-D54-D55-D56-D57-D58-D59-D60-D61-D62</f>
        <v>-3.3527612686157227E-8</v>
      </c>
      <c r="E111" s="23">
        <f>E47-E48-E49-E50-E51-E52-E53-E54-E55-E56-E57-E58-E59-E60-E61-E62</f>
        <v>6.7055225372314453E-8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14" s="22" customFormat="1" ht="15" hidden="1" customHeight="1" x14ac:dyDescent="0.25">
      <c r="B112" s="105" t="s">
        <v>143</v>
      </c>
      <c r="C112" s="23">
        <f>C44-C47</f>
        <v>0</v>
      </c>
      <c r="D112" s="23">
        <f t="shared" ref="D112:E112" si="14">D44-D47</f>
        <v>0</v>
      </c>
      <c r="E112" s="23">
        <f t="shared" si="14"/>
        <v>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14" s="22" customFormat="1" ht="15" hidden="1" customHeight="1" x14ac:dyDescent="0.25">
      <c r="B113" s="106" t="s">
        <v>144</v>
      </c>
      <c r="C113" s="23">
        <f>C67-0</f>
        <v>0</v>
      </c>
      <c r="D113" s="23">
        <f t="shared" ref="D113:E113" si="15">D67-0</f>
        <v>0</v>
      </c>
      <c r="E113" s="23">
        <f t="shared" si="15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14" s="107" customFormat="1" ht="15" hidden="1" customHeight="1" x14ac:dyDescent="0.25">
      <c r="B114" s="108" t="s">
        <v>145</v>
      </c>
      <c r="C114" s="109"/>
      <c r="D114" s="109">
        <f>D62/(D44-D30)*100</f>
        <v>4.8203740646083331</v>
      </c>
      <c r="E114" s="109">
        <f>E62/(E44-E30)*100</f>
        <v>9.6731347553391878</v>
      </c>
      <c r="F114" s="109"/>
      <c r="G114" s="109"/>
      <c r="H114" s="109"/>
      <c r="I114" s="109"/>
      <c r="J114" s="23"/>
      <c r="K114" s="23"/>
      <c r="L114" s="23"/>
      <c r="M114" s="23"/>
      <c r="N114" s="23"/>
      <c r="O114" s="23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</row>
    <row r="115" spans="2:114" s="22" customFormat="1" ht="23.25" hidden="1" customHeight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14" s="22" customFormat="1" ht="15" hidden="1" customHeight="1" x14ac:dyDescent="0.25">
      <c r="B116" s="110" t="s">
        <v>146</v>
      </c>
      <c r="C116" s="23">
        <f>C7-C44-C63</f>
        <v>0</v>
      </c>
      <c r="D116" s="23">
        <f>D7-D44-D63</f>
        <v>1.1920928955078125E-7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14" s="22" customFormat="1" ht="23.25" hidden="1" customHeight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14" s="22" customFormat="1" ht="15" hidden="1" customHeight="1" x14ac:dyDescent="0.25">
      <c r="B118" s="25" t="s">
        <v>148</v>
      </c>
      <c r="C118" s="23">
        <f>C70-C71-C72-C73</f>
        <v>3.7252902984619141E-9</v>
      </c>
      <c r="D118" s="23">
        <f t="shared" ref="D118:E118" si="16">D70-D71-D72-D73</f>
        <v>0</v>
      </c>
      <c r="E118" s="23">
        <f t="shared" si="16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14" s="111" customFormat="1" ht="14.25" hidden="1" customHeight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14" s="22" customFormat="1" ht="15" hidden="1" customHeight="1" x14ac:dyDescent="0.25">
      <c r="B120" s="113" t="s">
        <v>150</v>
      </c>
      <c r="C120" s="112">
        <f>C72</f>
        <v>19298655.120000001</v>
      </c>
      <c r="D120" s="112">
        <f t="shared" ref="D120:E121" si="17">D72</f>
        <v>0</v>
      </c>
      <c r="E120" s="112">
        <f t="shared" si="17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14" s="22" customFormat="1" ht="15" hidden="1" customHeight="1" x14ac:dyDescent="0.25">
      <c r="B121" s="113" t="s">
        <v>151</v>
      </c>
      <c r="C121" s="112">
        <f>C73</f>
        <v>0</v>
      </c>
      <c r="D121" s="112">
        <f t="shared" si="17"/>
        <v>0</v>
      </c>
      <c r="E121" s="112">
        <f t="shared" si="17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14" s="22" customFormat="1" ht="15" hidden="1" customHeight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14" s="22" customFormat="1" ht="15" hidden="1" customHeight="1" x14ac:dyDescent="0.25">
      <c r="B123" s="25" t="s">
        <v>152</v>
      </c>
      <c r="C123" s="23">
        <f>C71-C119</f>
        <v>42232046</v>
      </c>
      <c r="D123" s="23">
        <f t="shared" ref="D123:E123" si="18">D71-D119</f>
        <v>33785637</v>
      </c>
      <c r="E123" s="23">
        <f t="shared" si="18"/>
        <v>33785637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14" s="22" customFormat="1" ht="15" hidden="1" customHeight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14" s="22" customFormat="1" ht="15" hidden="1" customHeight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14" ht="18.75" hidden="1" customHeight="1" x14ac:dyDescent="0.3">
      <c r="B126" s="114" t="s">
        <v>155</v>
      </c>
      <c r="C126" s="115" t="s">
        <v>61</v>
      </c>
      <c r="D126" s="116" t="e">
        <f t="shared" ref="D126:E126" si="19">D49/C49*100-100</f>
        <v>#DIV/0!</v>
      </c>
      <c r="E126" s="116" t="e">
        <f t="shared" si="19"/>
        <v>#DIV/0!</v>
      </c>
      <c r="F126" s="116"/>
      <c r="G126" s="116"/>
      <c r="H126" s="116"/>
      <c r="I126" s="116"/>
      <c r="J126" s="236"/>
      <c r="K126" s="236"/>
      <c r="L126" s="236"/>
      <c r="M126" s="236"/>
      <c r="N126" s="236"/>
      <c r="O126" s="236"/>
    </row>
    <row r="127" spans="2:114" ht="15" hidden="1" customHeight="1" x14ac:dyDescent="0.25"/>
  </sheetData>
  <mergeCells count="6">
    <mergeCell ref="B78:C78"/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zoomScale="50" zoomScaleNormal="50" workbookViewId="0">
      <selection activeCell="C29" sqref="C29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188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7"/>
      <c r="E9" s="58"/>
    </row>
    <row r="10" spans="1:5" s="7" customFormat="1" ht="18.75" x14ac:dyDescent="0.25">
      <c r="A10" s="29" t="s">
        <v>23</v>
      </c>
      <c r="B10" s="41" t="s">
        <v>10</v>
      </c>
      <c r="C10" s="59"/>
      <c r="D10" s="60"/>
      <c r="E10" s="60"/>
    </row>
    <row r="11" spans="1:5" ht="18.75" x14ac:dyDescent="0.25">
      <c r="A11" s="28" t="s">
        <v>24</v>
      </c>
      <c r="B11" s="42" t="s">
        <v>11</v>
      </c>
      <c r="C11" s="61"/>
      <c r="D11" s="62"/>
      <c r="E11" s="63"/>
    </row>
    <row r="12" spans="1:5" ht="18.75" x14ac:dyDescent="0.25">
      <c r="A12" s="28" t="s">
        <v>25</v>
      </c>
      <c r="B12" s="42" t="s">
        <v>12</v>
      </c>
      <c r="C12" s="61"/>
      <c r="D12" s="62"/>
      <c r="E12" s="63"/>
    </row>
    <row r="13" spans="1:5" ht="18.75" x14ac:dyDescent="0.25">
      <c r="A13" s="28" t="s">
        <v>26</v>
      </c>
      <c r="B13" s="42" t="s">
        <v>162</v>
      </c>
      <c r="C13" s="61"/>
      <c r="D13" s="62"/>
      <c r="E13" s="63"/>
    </row>
    <row r="14" spans="1:5" ht="18.75" x14ac:dyDescent="0.25">
      <c r="A14" s="28" t="s">
        <v>27</v>
      </c>
      <c r="B14" s="42" t="s">
        <v>13</v>
      </c>
      <c r="C14" s="61"/>
      <c r="D14" s="62"/>
      <c r="E14" s="63"/>
    </row>
    <row r="15" spans="1:5" ht="18.75" x14ac:dyDescent="0.25">
      <c r="A15" s="28" t="s">
        <v>28</v>
      </c>
      <c r="B15" s="42" t="s">
        <v>14</v>
      </c>
      <c r="C15" s="61"/>
      <c r="D15" s="62"/>
      <c r="E15" s="63"/>
    </row>
    <row r="16" spans="1:5" ht="18.75" x14ac:dyDescent="0.25">
      <c r="A16" s="28" t="s">
        <v>29</v>
      </c>
      <c r="B16" s="42" t="s">
        <v>15</v>
      </c>
      <c r="C16" s="61"/>
      <c r="D16" s="62"/>
      <c r="E16" s="63"/>
    </row>
    <row r="17" spans="1:19" ht="18.75" x14ac:dyDescent="0.25">
      <c r="A17" s="28" t="s">
        <v>30</v>
      </c>
      <c r="B17" s="42" t="s">
        <v>16</v>
      </c>
      <c r="C17" s="61"/>
      <c r="D17" s="62"/>
      <c r="E17" s="63"/>
    </row>
    <row r="18" spans="1:19" ht="18.75" x14ac:dyDescent="0.25">
      <c r="A18" s="28" t="s">
        <v>31</v>
      </c>
      <c r="B18" s="42" t="s">
        <v>17</v>
      </c>
      <c r="C18" s="61"/>
      <c r="D18" s="62"/>
      <c r="E18" s="63"/>
    </row>
    <row r="19" spans="1:19" ht="18.75" x14ac:dyDescent="0.25">
      <c r="A19" s="28" t="s">
        <v>32</v>
      </c>
      <c r="B19" s="42" t="s">
        <v>18</v>
      </c>
      <c r="C19" s="61"/>
      <c r="D19" s="62"/>
      <c r="E19" s="6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2"/>
      <c r="E21" s="63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C30+C40</f>
        <v>0</v>
      </c>
      <c r="D28" s="64">
        <f>D30+D40</f>
        <v>0</v>
      </c>
      <c r="E28" s="64">
        <f>E30+E40</f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/>
      <c r="D29" s="123">
        <f t="shared" ref="D29:E29" si="1">D31+D32+D33+D34+D41+D42+D43</f>
        <v>0</v>
      </c>
      <c r="E29" s="123">
        <f t="shared" si="1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2">D31+D32+D33+D34+D35+D36+D37+D38+D39</f>
        <v>0</v>
      </c>
      <c r="E30" s="119">
        <f t="shared" si="2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3">SUM(C41:C43)</f>
        <v>0</v>
      </c>
      <c r="D40" s="121">
        <f t="shared" si="3"/>
        <v>0</v>
      </c>
      <c r="E40" s="121">
        <f t="shared" si="3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>C45+C46</f>
        <v>12384271.4</v>
      </c>
      <c r="D44" s="68">
        <f t="shared" ref="D44:E44" si="4">D45+D46</f>
        <v>11386860.699999999</v>
      </c>
      <c r="E44" s="68">
        <f t="shared" si="4"/>
        <v>11545664.720000001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v>12374271.4</v>
      </c>
      <c r="D45" s="70">
        <v>11376860.699999999</v>
      </c>
      <c r="E45" s="71">
        <v>11535664.720000001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10000</v>
      </c>
      <c r="D46" s="70">
        <v>10000</v>
      </c>
      <c r="E46" s="71">
        <v>10000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12384271.4</v>
      </c>
      <c r="D47" s="94">
        <f>D48+D49+D50+D51+D52+D53+D54+D55+D56+D57+D58+D59+D60+D61+D62</f>
        <v>11386860.699999999</v>
      </c>
      <c r="E47" s="94">
        <f>E48+E49+E50+E51+E52+E53+E54+E55+E56+E57+E58+E59+E60+E61+E62</f>
        <v>11545664.720000001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5500000</v>
      </c>
      <c r="D48" s="63">
        <v>5500000</v>
      </c>
      <c r="E48" s="63">
        <v>5500000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37.5" x14ac:dyDescent="0.25">
      <c r="A50" s="31" t="s">
        <v>103</v>
      </c>
      <c r="B50" s="95" t="s">
        <v>104</v>
      </c>
      <c r="C50" s="63">
        <v>600000</v>
      </c>
      <c r="D50" s="63">
        <v>600000</v>
      </c>
      <c r="E50" s="63">
        <v>600000</v>
      </c>
    </row>
    <row r="51" spans="1:19" s="8" customFormat="1" ht="18.75" x14ac:dyDescent="0.25">
      <c r="A51" s="31" t="s">
        <v>105</v>
      </c>
      <c r="B51" s="95" t="s">
        <v>106</v>
      </c>
      <c r="C51" s="63">
        <v>1637670</v>
      </c>
      <c r="D51" s="63">
        <v>1600000</v>
      </c>
      <c r="E51" s="63">
        <v>2000000</v>
      </c>
    </row>
    <row r="52" spans="1:19" s="8" customFormat="1" ht="18.75" x14ac:dyDescent="0.25">
      <c r="A52" s="31" t="s">
        <v>107</v>
      </c>
      <c r="B52" s="95" t="s">
        <v>109</v>
      </c>
      <c r="C52" s="63">
        <v>1000000</v>
      </c>
      <c r="D52" s="63">
        <v>1000000</v>
      </c>
      <c r="E52" s="63">
        <v>1000000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264778.96999999997</v>
      </c>
      <c r="D54" s="63">
        <v>10000</v>
      </c>
      <c r="E54" s="63">
        <v>10000</v>
      </c>
    </row>
    <row r="55" spans="1:19" s="8" customFormat="1" ht="18.75" x14ac:dyDescent="0.25">
      <c r="A55" s="31" t="s">
        <v>112</v>
      </c>
      <c r="B55" s="95" t="s">
        <v>115</v>
      </c>
      <c r="C55" s="63">
        <v>3081822.43</v>
      </c>
      <c r="D55" s="63">
        <v>2092189.18</v>
      </c>
      <c r="E55" s="63">
        <v>1558381.48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100000</v>
      </c>
      <c r="D57" s="63">
        <v>100000</v>
      </c>
      <c r="E57" s="63">
        <v>100000</v>
      </c>
    </row>
    <row r="58" spans="1:19" s="8" customFormat="1" ht="18.75" x14ac:dyDescent="0.25">
      <c r="A58" s="31" t="s">
        <v>118</v>
      </c>
      <c r="B58" s="95" t="s">
        <v>121</v>
      </c>
      <c r="C58" s="63">
        <v>200000</v>
      </c>
      <c r="D58" s="63">
        <v>200000</v>
      </c>
      <c r="E58" s="63">
        <v>200000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v>284671.52</v>
      </c>
      <c r="E62" s="63">
        <v>577283.24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-12384271.4</v>
      </c>
      <c r="D63" s="68">
        <f>D7-D44</f>
        <v>-11386860.699999999</v>
      </c>
      <c r="E63" s="68">
        <f>E7-E44</f>
        <v>-11545664.720000001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0</v>
      </c>
      <c r="D70" s="90">
        <f t="shared" ref="D70:E70" si="5">D71+D72+D73</f>
        <v>0</v>
      </c>
      <c r="E70" s="90">
        <f t="shared" si="5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/>
      <c r="D71" s="60"/>
      <c r="E71" s="60"/>
    </row>
    <row r="72" spans="1:25" s="8" customFormat="1" ht="56.25" x14ac:dyDescent="0.25">
      <c r="A72" s="31" t="s">
        <v>89</v>
      </c>
      <c r="B72" s="84" t="s">
        <v>74</v>
      </c>
      <c r="C72" s="59"/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189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190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6">D8-D9-D11-D12-D14-D15-D16-D17-D18-D19-D20-D21-D22-D23-D24-D25-D26-D27</f>
        <v>0</v>
      </c>
      <c r="E94" s="96">
        <f t="shared" si="6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7">C28-C30-C40</f>
        <v>0</v>
      </c>
      <c r="D95" s="96">
        <f t="shared" si="7"/>
        <v>0</v>
      </c>
      <c r="E95" s="96">
        <f t="shared" si="7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8">C30-C31-C32-C33-C34-C35-C36-C37-C38-C39</f>
        <v>0</v>
      </c>
      <c r="D96" s="96">
        <f t="shared" si="8"/>
        <v>0</v>
      </c>
      <c r="E96" s="96">
        <f t="shared" si="8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9">D40-D41-D42-D43</f>
        <v>0</v>
      </c>
      <c r="E97" s="96">
        <f t="shared" si="9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0">C31-C99</f>
        <v>0</v>
      </c>
      <c r="D103" s="96">
        <f t="shared" si="10"/>
        <v>0</v>
      </c>
      <c r="E103" s="96">
        <f t="shared" si="10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0"/>
        <v>0</v>
      </c>
      <c r="D104" s="96">
        <f t="shared" si="10"/>
        <v>0</v>
      </c>
      <c r="E104" s="96">
        <f t="shared" si="10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1">D41-D101</f>
        <v>0</v>
      </c>
      <c r="E105" s="96">
        <f t="shared" si="11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1"/>
        <v>0</v>
      </c>
      <c r="E106" s="96">
        <f t="shared" si="11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2">C29-C31-C32-C33-C34-C41-C42-C43</f>
        <v>0</v>
      </c>
      <c r="D108" s="104">
        <f t="shared" si="12"/>
        <v>0</v>
      </c>
      <c r="E108" s="104">
        <f t="shared" si="12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0</v>
      </c>
      <c r="D110" s="23">
        <f t="shared" ref="D110:E110" si="13">D44-D45-D46</f>
        <v>0</v>
      </c>
      <c r="E110" s="23">
        <f t="shared" si="13"/>
        <v>0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4.6566128730773926E-10</v>
      </c>
      <c r="D111" s="23">
        <f>D47-D48-D49-D50-D51-D52-D53-D54-D55-D56-D57-D58-D59-D60-D61-D62</f>
        <v>-6.9849193096160889E-10</v>
      </c>
      <c r="E111" s="23">
        <f>E47-E48-E49-E50-E51-E52-E53-E54-E55-E56-E57-E58-E59-E60-E61-E62</f>
        <v>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0</v>
      </c>
      <c r="D112" s="23">
        <f t="shared" ref="D112:E112" si="14">D44-D47</f>
        <v>0</v>
      </c>
      <c r="E112" s="23">
        <f t="shared" si="14"/>
        <v>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5">D67-0</f>
        <v>0</v>
      </c>
      <c r="E113" s="23">
        <f t="shared" si="15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>
        <f>D62/(D44-D30)*100</f>
        <v>2.5000000219551297</v>
      </c>
      <c r="E114" s="109">
        <f>E62/(E44-E30)*100</f>
        <v>5.0000000346450388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6">D70-D71-D72-D73</f>
        <v>0</v>
      </c>
      <c r="E118" s="23">
        <f t="shared" si="16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0</v>
      </c>
      <c r="D120" s="112">
        <f t="shared" ref="D120:E121" si="17">D72</f>
        <v>0</v>
      </c>
      <c r="E120" s="112">
        <f t="shared" si="17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7"/>
        <v>0</v>
      </c>
      <c r="E121" s="112">
        <f t="shared" si="17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0</v>
      </c>
      <c r="D123" s="23">
        <f t="shared" ref="D123:E123" si="18">D71-D119</f>
        <v>0</v>
      </c>
      <c r="E123" s="23">
        <f t="shared" si="18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19">D49/C49*100-100</f>
        <v>#DIV/0!</v>
      </c>
      <c r="E126" s="116" t="e">
        <f t="shared" si="19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opLeftCell="A43" zoomScale="50" zoomScaleNormal="50" workbookViewId="0">
      <selection activeCell="A75" sqref="A75:E78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7" width="7.85546875" style="1" customWidth="1"/>
    <col min="8" max="8" width="15.28515625" style="1" bestFit="1" customWidth="1"/>
    <col min="9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192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894690997.44000006</v>
      </c>
      <c r="D7" s="54">
        <f>D8+D28</f>
        <v>837916886.59000003</v>
      </c>
      <c r="E7" s="54">
        <f>E8+E28</f>
        <v>835178720.77999997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417325701.91000003</v>
      </c>
      <c r="D8" s="55">
        <f t="shared" ref="D8:E8" si="0">D9+D11+D12+D13+D14+D15+D16+D17+D18+D19+D20+D21+D22+D23+D24+D25+D26+D27</f>
        <v>377727621.79000002</v>
      </c>
      <c r="E8" s="55">
        <f t="shared" si="0"/>
        <v>376144894.61000001</v>
      </c>
    </row>
    <row r="9" spans="1:5" ht="18.75" x14ac:dyDescent="0.25">
      <c r="A9" s="33" t="s">
        <v>22</v>
      </c>
      <c r="B9" s="40" t="s">
        <v>9</v>
      </c>
      <c r="C9" s="56">
        <f>324673460+10360200</f>
        <v>335033660</v>
      </c>
      <c r="D9" s="57">
        <f>285155880+10964340</f>
        <v>296120220</v>
      </c>
      <c r="E9" s="58">
        <f>281817330+11540680</f>
        <v>293358010</v>
      </c>
    </row>
    <row r="10" spans="1:5" s="7" customFormat="1" ht="18.75" x14ac:dyDescent="0.25">
      <c r="A10" s="29" t="s">
        <v>23</v>
      </c>
      <c r="B10" s="41" t="s">
        <v>10</v>
      </c>
      <c r="C10" s="59">
        <v>266100686.41</v>
      </c>
      <c r="D10" s="60">
        <v>223101580.91</v>
      </c>
      <c r="E10" s="60">
        <v>216502676.50999999</v>
      </c>
    </row>
    <row r="11" spans="1:5" ht="18.75" x14ac:dyDescent="0.25">
      <c r="A11" s="28" t="s">
        <v>24</v>
      </c>
      <c r="B11" s="42" t="s">
        <v>11</v>
      </c>
      <c r="C11" s="61">
        <f>3175680+15129040</f>
        <v>18304720</v>
      </c>
      <c r="D11" s="62">
        <f>3109200+14812320</f>
        <v>17921520</v>
      </c>
      <c r="E11" s="63">
        <f>3250950+15487550</f>
        <v>18738500</v>
      </c>
    </row>
    <row r="12" spans="1:5" ht="18.75" x14ac:dyDescent="0.25">
      <c r="A12" s="28" t="s">
        <v>25</v>
      </c>
      <c r="B12" s="42" t="s">
        <v>12</v>
      </c>
      <c r="C12" s="61">
        <v>15321000</v>
      </c>
      <c r="D12" s="62">
        <v>15477000</v>
      </c>
      <c r="E12" s="63">
        <v>15630000</v>
      </c>
    </row>
    <row r="13" spans="1:5" ht="18.75" x14ac:dyDescent="0.25">
      <c r="A13" s="28" t="s">
        <v>26</v>
      </c>
      <c r="B13" s="42" t="s">
        <v>162</v>
      </c>
      <c r="C13" s="61">
        <v>0</v>
      </c>
      <c r="D13" s="62">
        <v>0</v>
      </c>
      <c r="E13" s="63">
        <v>0</v>
      </c>
    </row>
    <row r="14" spans="1:5" ht="18.75" x14ac:dyDescent="0.25">
      <c r="A14" s="28" t="s">
        <v>27</v>
      </c>
      <c r="B14" s="42" t="s">
        <v>13</v>
      </c>
      <c r="C14" s="61">
        <f>4381000+4381000</f>
        <v>8762000</v>
      </c>
      <c r="D14" s="62">
        <f>4443000+4442000</f>
        <v>8885000</v>
      </c>
      <c r="E14" s="63">
        <f>4500000+4499000</f>
        <v>8999000</v>
      </c>
    </row>
    <row r="15" spans="1:5" ht="18.75" x14ac:dyDescent="0.25">
      <c r="A15" s="28" t="s">
        <v>28</v>
      </c>
      <c r="B15" s="42" t="s">
        <v>14</v>
      </c>
      <c r="C15" s="61">
        <v>2659000</v>
      </c>
      <c r="D15" s="62">
        <v>2696000</v>
      </c>
      <c r="E15" s="63">
        <v>2753000</v>
      </c>
    </row>
    <row r="16" spans="1:5" ht="18.75" x14ac:dyDescent="0.25">
      <c r="A16" s="28" t="s">
        <v>29</v>
      </c>
      <c r="B16" s="42" t="s">
        <v>15</v>
      </c>
      <c r="C16" s="61">
        <v>3118000</v>
      </c>
      <c r="D16" s="62">
        <v>3118000</v>
      </c>
      <c r="E16" s="63">
        <v>3118000</v>
      </c>
    </row>
    <row r="17" spans="1:19" ht="18.75" x14ac:dyDescent="0.25">
      <c r="A17" s="28" t="s">
        <v>30</v>
      </c>
      <c r="B17" s="42" t="s">
        <v>16</v>
      </c>
      <c r="C17" s="61">
        <v>0</v>
      </c>
      <c r="D17" s="62">
        <v>0</v>
      </c>
      <c r="E17" s="63">
        <v>0</v>
      </c>
    </row>
    <row r="18" spans="1:19" ht="18.75" x14ac:dyDescent="0.25">
      <c r="A18" s="28" t="s">
        <v>31</v>
      </c>
      <c r="B18" s="42" t="s">
        <v>17</v>
      </c>
      <c r="C18" s="61">
        <v>15839000</v>
      </c>
      <c r="D18" s="62">
        <v>15839000</v>
      </c>
      <c r="E18" s="63">
        <v>15839000</v>
      </c>
    </row>
    <row r="19" spans="1:19" ht="18.75" x14ac:dyDescent="0.25">
      <c r="A19" s="28" t="s">
        <v>32</v>
      </c>
      <c r="B19" s="42" t="s">
        <v>18</v>
      </c>
      <c r="C19" s="61">
        <v>3556000</v>
      </c>
      <c r="D19" s="62">
        <v>3606000</v>
      </c>
      <c r="E19" s="63">
        <v>3642000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>
        <v>0</v>
      </c>
      <c r="D20" s="62">
        <v>0</v>
      </c>
      <c r="E20" s="63">
        <v>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>
        <f>6791002.56+846518+260000+160000+146000+103000+117955.46+2736466.17+909120.3</f>
        <v>12070062.49</v>
      </c>
      <c r="D21" s="62">
        <f>6791002.56+846518+260000+160000+146000+103000+94302.34+2736466.17+909120.3</f>
        <v>12046409.370000001</v>
      </c>
      <c r="E21" s="63">
        <f>6791002.56+846518+260000+160000+146000+103000+62705.16+2736466.17+909120.3</f>
        <v>12014812.190000001</v>
      </c>
    </row>
    <row r="22" spans="1:19" s="8" customFormat="1" ht="18.75" x14ac:dyDescent="0.25">
      <c r="A22" s="28" t="s">
        <v>165</v>
      </c>
      <c r="B22" s="42" t="s">
        <v>166</v>
      </c>
      <c r="C22" s="61">
        <v>35099.980000000003</v>
      </c>
      <c r="D22" s="62">
        <v>35099.980000000003</v>
      </c>
      <c r="E22" s="63">
        <v>35099.980000000003</v>
      </c>
    </row>
    <row r="23" spans="1:19" s="8" customFormat="1" ht="18.75" x14ac:dyDescent="0.25">
      <c r="A23" s="28" t="s">
        <v>167</v>
      </c>
      <c r="B23" s="42" t="s">
        <v>168</v>
      </c>
      <c r="C23" s="61">
        <v>0</v>
      </c>
      <c r="D23" s="62">
        <v>0</v>
      </c>
      <c r="E23" s="63">
        <v>0</v>
      </c>
    </row>
    <row r="24" spans="1:19" s="8" customFormat="1" ht="18.75" x14ac:dyDescent="0.25">
      <c r="A24" s="28" t="s">
        <v>169</v>
      </c>
      <c r="B24" s="42" t="s">
        <v>170</v>
      </c>
      <c r="C24" s="61">
        <f>200000+292000+100000</f>
        <v>592000</v>
      </c>
      <c r="D24" s="61">
        <f t="shared" ref="D24:E24" si="1">200000+100000</f>
        <v>300000</v>
      </c>
      <c r="E24" s="61">
        <f t="shared" si="1"/>
        <v>300000</v>
      </c>
    </row>
    <row r="25" spans="1:19" s="8" customFormat="1" ht="18.75" x14ac:dyDescent="0.25">
      <c r="A25" s="28" t="s">
        <v>171</v>
      </c>
      <c r="B25" s="42" t="s">
        <v>172</v>
      </c>
      <c r="C25" s="61">
        <v>0</v>
      </c>
      <c r="D25" s="62">
        <v>0</v>
      </c>
      <c r="E25" s="63">
        <v>0</v>
      </c>
    </row>
    <row r="26" spans="1:19" s="8" customFormat="1" ht="18.75" x14ac:dyDescent="0.25">
      <c r="A26" s="28" t="s">
        <v>173</v>
      </c>
      <c r="B26" s="42" t="s">
        <v>174</v>
      </c>
      <c r="C26" s="61">
        <v>2035159.44</v>
      </c>
      <c r="D26" s="62">
        <v>1683372.44</v>
      </c>
      <c r="E26" s="63">
        <v>1717472.44</v>
      </c>
    </row>
    <row r="27" spans="1:19" s="8" customFormat="1" ht="18.75" x14ac:dyDescent="0.25">
      <c r="A27" s="28" t="s">
        <v>175</v>
      </c>
      <c r="B27" s="42" t="s">
        <v>176</v>
      </c>
      <c r="C27" s="61">
        <v>0</v>
      </c>
      <c r="D27" s="62">
        <v>0</v>
      </c>
      <c r="E27" s="63">
        <v>0</v>
      </c>
    </row>
    <row r="28" spans="1:19" s="6" customFormat="1" ht="18.75" x14ac:dyDescent="0.25">
      <c r="A28" s="5" t="s">
        <v>92</v>
      </c>
      <c r="B28" s="43" t="s">
        <v>157</v>
      </c>
      <c r="C28" s="64">
        <f>C30+C40</f>
        <v>477365295.52999997</v>
      </c>
      <c r="D28" s="64">
        <f>D30+D40</f>
        <v>460189264.80000001</v>
      </c>
      <c r="E28" s="64">
        <f>E30+E40</f>
        <v>459033826.17000002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C31+C32+C33+C34+C41+C42+C43</f>
        <v>477365295.52999997</v>
      </c>
      <c r="D29" s="123">
        <f t="shared" ref="D29:E29" si="2">D31+D32+D33+D34+D41+D42+D43</f>
        <v>460189264.80000001</v>
      </c>
      <c r="E29" s="123">
        <f t="shared" si="2"/>
        <v>459033826.17000002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409851779.52999997</v>
      </c>
      <c r="D30" s="119">
        <f t="shared" ref="D30:E30" si="3">D31+D32+D33+D34+D35+D36+D37+D38+D39</f>
        <v>403346417.80000001</v>
      </c>
      <c r="E30" s="119">
        <f t="shared" si="3"/>
        <v>403478583.17000002</v>
      </c>
    </row>
    <row r="31" spans="1:19" s="8" customFormat="1" ht="18.75" x14ac:dyDescent="0.25">
      <c r="A31" s="74" t="s">
        <v>50</v>
      </c>
      <c r="B31" s="75" t="s">
        <v>70</v>
      </c>
      <c r="C31" s="79">
        <v>0</v>
      </c>
      <c r="D31" s="79">
        <v>0</v>
      </c>
      <c r="E31" s="79">
        <v>0</v>
      </c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>
        <v>409851779.52999997</v>
      </c>
      <c r="D32" s="79">
        <v>403346417.80000001</v>
      </c>
      <c r="E32" s="79">
        <v>403478583.17000002</v>
      </c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>
        <v>0</v>
      </c>
      <c r="D33" s="79">
        <v>0</v>
      </c>
      <c r="E33" s="79">
        <v>0</v>
      </c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>
        <v>0</v>
      </c>
      <c r="D34" s="79">
        <v>0</v>
      </c>
      <c r="E34" s="79">
        <v>0</v>
      </c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9">
        <v>0</v>
      </c>
      <c r="D35" s="79">
        <v>0</v>
      </c>
      <c r="E35" s="79"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9">
        <v>0</v>
      </c>
      <c r="D36" s="79">
        <v>0</v>
      </c>
      <c r="E36" s="79"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9">
        <v>0</v>
      </c>
      <c r="D37" s="79">
        <v>0</v>
      </c>
      <c r="E37" s="79">
        <v>0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9">
        <v>0</v>
      </c>
      <c r="D38" s="79">
        <v>0</v>
      </c>
      <c r="E38" s="79">
        <v>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9">
        <v>0</v>
      </c>
      <c r="D39" s="79">
        <v>0</v>
      </c>
      <c r="E39" s="79">
        <v>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4">SUM(C41:C43)</f>
        <v>67513516</v>
      </c>
      <c r="D40" s="121">
        <f t="shared" si="4"/>
        <v>56842847</v>
      </c>
      <c r="E40" s="121">
        <f t="shared" si="4"/>
        <v>55555243</v>
      </c>
    </row>
    <row r="41" spans="1:22" s="8" customFormat="1" ht="18.75" x14ac:dyDescent="0.25">
      <c r="A41" s="30" t="s">
        <v>37</v>
      </c>
      <c r="B41" s="44" t="s">
        <v>2</v>
      </c>
      <c r="C41" s="66">
        <v>67513516</v>
      </c>
      <c r="D41" s="66">
        <v>56842847</v>
      </c>
      <c r="E41" s="66">
        <v>55555243</v>
      </c>
    </row>
    <row r="42" spans="1:22" s="8" customFormat="1" ht="18.75" x14ac:dyDescent="0.25">
      <c r="A42" s="31" t="s">
        <v>38</v>
      </c>
      <c r="B42" s="45" t="s">
        <v>3</v>
      </c>
      <c r="C42" s="60">
        <v>0</v>
      </c>
      <c r="D42" s="67">
        <v>0</v>
      </c>
      <c r="E42" s="60">
        <v>0</v>
      </c>
    </row>
    <row r="43" spans="1:22" s="8" customFormat="1" ht="18.75" x14ac:dyDescent="0.25">
      <c r="A43" s="31" t="s">
        <v>39</v>
      </c>
      <c r="B43" s="45" t="s">
        <v>40</v>
      </c>
      <c r="C43" s="60">
        <v>0</v>
      </c>
      <c r="D43" s="60">
        <v>0</v>
      </c>
      <c r="E43" s="60">
        <v>0</v>
      </c>
    </row>
    <row r="44" spans="1:22" s="4" customFormat="1" ht="18.75" x14ac:dyDescent="0.25">
      <c r="A44" s="3" t="s">
        <v>42</v>
      </c>
      <c r="B44" s="46" t="s">
        <v>4</v>
      </c>
      <c r="C44" s="68">
        <f>C7</f>
        <v>894690997.44000006</v>
      </c>
      <c r="D44" s="68">
        <f t="shared" ref="D44:E44" si="5">D7</f>
        <v>837916886.59000003</v>
      </c>
      <c r="E44" s="68">
        <f t="shared" si="5"/>
        <v>835178720.77999997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f>C47-C46</f>
        <v>787418657.68000007</v>
      </c>
      <c r="D45" s="70">
        <f>D47-D46</f>
        <v>744423500.07449996</v>
      </c>
      <c r="E45" s="70">
        <f>E47-E46</f>
        <v>740782462.30900002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10000000</v>
      </c>
      <c r="D46" s="70">
        <v>5000000</v>
      </c>
      <c r="E46" s="71">
        <v>5000000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797418657.68000007</v>
      </c>
      <c r="D47" s="94">
        <f>D48+D49+D50+D51+D52+D53+D54+D55+D56+D57+D58+D59+D60+D61+D62</f>
        <v>749423500.07449996</v>
      </c>
      <c r="E47" s="94">
        <f>E48+E49+E50+E51+E52+E53+E54+E55+E56+E57+E58+E59+E60+E61+E62</f>
        <v>745782462.30900002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f>118168976.57</f>
        <v>118168976.56999999</v>
      </c>
      <c r="D48" s="63">
        <f>118168976.57-29699213.86</f>
        <v>88469762.709999993</v>
      </c>
      <c r="E48" s="63">
        <f>88469762.71-5818398.56</f>
        <v>82651364.149999991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37.5" x14ac:dyDescent="0.25">
      <c r="A50" s="31" t="s">
        <v>103</v>
      </c>
      <c r="B50" s="95" t="s">
        <v>104</v>
      </c>
      <c r="C50" s="63">
        <v>902000</v>
      </c>
      <c r="D50" s="63">
        <v>902000</v>
      </c>
      <c r="E50" s="63">
        <v>902000</v>
      </c>
    </row>
    <row r="51" spans="1:19" s="8" customFormat="1" ht="18.75" x14ac:dyDescent="0.25">
      <c r="A51" s="31" t="s">
        <v>105</v>
      </c>
      <c r="B51" s="95" t="s">
        <v>106</v>
      </c>
      <c r="C51" s="63">
        <f>33574540.89-16116023+0.7</f>
        <v>17458518.59</v>
      </c>
      <c r="D51" s="63">
        <f>33574540.89-10000000-16892818.91</f>
        <v>6681721.9800000004</v>
      </c>
      <c r="E51" s="63">
        <f>23574540.89-3549179.69-16892818.5+3702199.97</f>
        <v>6834742.6699999999</v>
      </c>
    </row>
    <row r="52" spans="1:19" s="8" customFormat="1" ht="18.75" x14ac:dyDescent="0.25">
      <c r="A52" s="31" t="s">
        <v>107</v>
      </c>
      <c r="B52" s="95" t="s">
        <v>109</v>
      </c>
      <c r="C52" s="63">
        <f>44614510.02-21116023</f>
        <v>23498487.020000003</v>
      </c>
      <c r="D52" s="63">
        <f>44614510.02-10000000-16892818.5+84467.19</f>
        <v>17806158.710000005</v>
      </c>
      <c r="E52" s="63">
        <f>34614510.02-10000000-16892818.5-6.61</f>
        <v>7721684.9100000029</v>
      </c>
    </row>
    <row r="53" spans="1:19" s="8" customFormat="1" ht="18.75" x14ac:dyDescent="0.25">
      <c r="A53" s="31" t="s">
        <v>108</v>
      </c>
      <c r="B53" s="95" t="s">
        <v>111</v>
      </c>
      <c r="C53" s="63">
        <v>1067000</v>
      </c>
      <c r="D53" s="63">
        <v>1067000</v>
      </c>
      <c r="E53" s="63">
        <v>1067000</v>
      </c>
    </row>
    <row r="54" spans="1:19" s="8" customFormat="1" ht="18.75" x14ac:dyDescent="0.25">
      <c r="A54" s="31" t="s">
        <v>110</v>
      </c>
      <c r="B54" s="95" t="s">
        <v>113</v>
      </c>
      <c r="C54" s="63">
        <f>365962320+203000000</f>
        <v>568962320</v>
      </c>
      <c r="D54" s="63">
        <f t="shared" ref="D54:E54" si="6">365962320+193000000</f>
        <v>558962320</v>
      </c>
      <c r="E54" s="63">
        <f t="shared" si="6"/>
        <v>558962320</v>
      </c>
    </row>
    <row r="55" spans="1:19" s="8" customFormat="1" ht="18.75" x14ac:dyDescent="0.25">
      <c r="A55" s="31" t="s">
        <v>112</v>
      </c>
      <c r="B55" s="95" t="s">
        <v>115</v>
      </c>
      <c r="C55" s="63">
        <f>44388084.36-20000000+5774741</f>
        <v>30162825.359999999</v>
      </c>
      <c r="D55" s="63">
        <f>44388084.36-20000000+1827364.21</f>
        <v>26215448.57</v>
      </c>
      <c r="E55" s="63">
        <f>39388084.36-20000000</f>
        <v>19388084.359999999</v>
      </c>
      <c r="H55" s="80"/>
    </row>
    <row r="56" spans="1:19" s="8" customFormat="1" ht="18.75" x14ac:dyDescent="0.25">
      <c r="A56" s="31" t="s">
        <v>114</v>
      </c>
      <c r="B56" s="95" t="s">
        <v>117</v>
      </c>
      <c r="C56" s="63">
        <v>0</v>
      </c>
      <c r="D56" s="63">
        <v>0</v>
      </c>
      <c r="E56" s="63">
        <v>0</v>
      </c>
    </row>
    <row r="57" spans="1:19" s="8" customFormat="1" ht="18.75" x14ac:dyDescent="0.25">
      <c r="A57" s="31" t="s">
        <v>116</v>
      </c>
      <c r="B57" s="95" t="s">
        <v>119</v>
      </c>
      <c r="C57" s="63">
        <v>17612549.559999999</v>
      </c>
      <c r="D57" s="63">
        <v>17612549.559999999</v>
      </c>
      <c r="E57" s="63">
        <v>17612549.559999999</v>
      </c>
    </row>
    <row r="58" spans="1:19" s="8" customFormat="1" ht="18.75" x14ac:dyDescent="0.25">
      <c r="A58" s="31" t="s">
        <v>118</v>
      </c>
      <c r="B58" s="95" t="s">
        <v>121</v>
      </c>
      <c r="C58" s="63">
        <f>14585980.58+5000000</f>
        <v>19585980.579999998</v>
      </c>
      <c r="D58" s="63">
        <f>14585980.58-2000000</f>
        <v>12585980.58</v>
      </c>
      <c r="E58" s="63">
        <v>12585980.58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  <c r="H59" s="80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  <c r="H61" s="80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f>D44*2.5%+0.01-1827364.21025</f>
        <v>19120557.964500003</v>
      </c>
      <c r="E62" s="63">
        <f>E44*5%+0.01-3702199.97</f>
        <v>38056736.079000004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0</v>
      </c>
      <c r="D63" s="68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>
        <v>0</v>
      </c>
      <c r="D64" s="17">
        <v>0</v>
      </c>
      <c r="E64" s="18">
        <v>0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>
        <v>0</v>
      </c>
      <c r="D65" s="17">
        <v>0</v>
      </c>
      <c r="E65" s="18">
        <v>0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>
        <v>0</v>
      </c>
      <c r="D66" s="17">
        <v>0</v>
      </c>
      <c r="E66" s="18">
        <v>0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>
        <v>0</v>
      </c>
      <c r="D67" s="59">
        <v>0</v>
      </c>
      <c r="E67" s="59">
        <v>0</v>
      </c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>
        <f>(C64/(C8-C10))*100</f>
        <v>0</v>
      </c>
      <c r="D68" s="65">
        <f>(D64/(D8-D10))*100</f>
        <v>0</v>
      </c>
      <c r="E68" s="73">
        <f>(E64/(E8-E10))*100</f>
        <v>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61530701.120000005</v>
      </c>
      <c r="D70" s="90">
        <f t="shared" ref="D70:E70" si="7">D71+D72+D73</f>
        <v>33785637</v>
      </c>
      <c r="E70" s="90">
        <f t="shared" si="7"/>
        <v>33785637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217">
        <v>42232046</v>
      </c>
      <c r="D71" s="217">
        <v>33785637</v>
      </c>
      <c r="E71" s="217">
        <v>33785637</v>
      </c>
    </row>
    <row r="72" spans="1:25" s="8" customFormat="1" ht="56.25" x14ac:dyDescent="0.25">
      <c r="A72" s="31" t="s">
        <v>89</v>
      </c>
      <c r="B72" s="84" t="s">
        <v>74</v>
      </c>
      <c r="C72" s="59">
        <v>19298655.120000001</v>
      </c>
      <c r="D72" s="85">
        <v>0</v>
      </c>
      <c r="E72" s="60">
        <v>0</v>
      </c>
    </row>
    <row r="73" spans="1:25" s="8" customFormat="1" ht="37.5" x14ac:dyDescent="0.25">
      <c r="A73" s="31" t="s">
        <v>90</v>
      </c>
      <c r="B73" s="86" t="s">
        <v>69</v>
      </c>
      <c r="C73" s="59">
        <v>0</v>
      </c>
      <c r="D73" s="59">
        <v>0</v>
      </c>
      <c r="E73" s="59">
        <v>0</v>
      </c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193</v>
      </c>
      <c r="C75" s="91"/>
      <c r="D75" s="19" t="s">
        <v>194</v>
      </c>
      <c r="E75" s="19"/>
    </row>
    <row r="76" spans="1:25" ht="18.75" x14ac:dyDescent="0.25">
      <c r="A76" s="50"/>
      <c r="B76" s="51"/>
      <c r="C76" s="52"/>
      <c r="D76" s="19"/>
      <c r="E76" s="19"/>
    </row>
    <row r="77" spans="1:25" ht="18.75" x14ac:dyDescent="0.25">
      <c r="A77" s="50"/>
      <c r="B77" s="228" t="s">
        <v>195</v>
      </c>
      <c r="C77" s="228"/>
      <c r="D77" s="19"/>
      <c r="E77" s="19"/>
    </row>
    <row r="78" spans="1:25" ht="18.75" x14ac:dyDescent="0.25">
      <c r="B78" s="228" t="s">
        <v>196</v>
      </c>
      <c r="C78" s="228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2.6077032089233398E-8</v>
      </c>
      <c r="D94" s="96">
        <f t="shared" ref="D94:E94" si="8">D8-D9-D11-D12-D14-D15-D16-D17-D18-D19-D20-D21-D22-D23-D24-D25-D26-D27</f>
        <v>2.0489096641540527E-8</v>
      </c>
      <c r="E94" s="96">
        <f t="shared" si="8"/>
        <v>1.3038516044616699E-8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9">C28-C30-C40</f>
        <v>0</v>
      </c>
      <c r="D95" s="96">
        <f t="shared" si="9"/>
        <v>0</v>
      </c>
      <c r="E95" s="96">
        <f t="shared" si="9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10">C30-C31-C32-C33-C34-C35-C36-C37-C38-C39</f>
        <v>0</v>
      </c>
      <c r="D96" s="96">
        <f t="shared" si="10"/>
        <v>0</v>
      </c>
      <c r="E96" s="96">
        <f t="shared" si="10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11">D40-D41-D42-D43</f>
        <v>0</v>
      </c>
      <c r="E97" s="96">
        <f t="shared" si="11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2">C31-C99</f>
        <v>0</v>
      </c>
      <c r="D103" s="96">
        <f t="shared" si="12"/>
        <v>0</v>
      </c>
      <c r="E103" s="96">
        <f t="shared" si="12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2"/>
        <v>409851779.52999997</v>
      </c>
      <c r="D104" s="96">
        <f t="shared" si="12"/>
        <v>403346417.80000001</v>
      </c>
      <c r="E104" s="96">
        <f t="shared" si="12"/>
        <v>403478583.17000002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67513516</v>
      </c>
      <c r="D105" s="96">
        <f t="shared" ref="D105:E106" si="13">D41-D101</f>
        <v>56842847</v>
      </c>
      <c r="E105" s="96">
        <f t="shared" si="13"/>
        <v>55555243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3"/>
        <v>0</v>
      </c>
      <c r="E106" s="96">
        <f t="shared" si="13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4">C29-C31-C32-C33-C34-C41-C42-C43</f>
        <v>0</v>
      </c>
      <c r="D108" s="104">
        <f t="shared" si="14"/>
        <v>0</v>
      </c>
      <c r="E108" s="104">
        <f t="shared" si="14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97272339.75999999</v>
      </c>
      <c r="D110" s="23">
        <f t="shared" ref="D110:E110" si="15">D44-D45-D46</f>
        <v>88493386.515500069</v>
      </c>
      <c r="E110" s="23">
        <f t="shared" si="15"/>
        <v>89396258.470999956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1.2293457984924316E-7</v>
      </c>
      <c r="D111" s="23">
        <f>D47-D48-D49-D50-D51-D52-D53-D54-D55-D56-D57-D58-D59-D60-D61-D62</f>
        <v>-1.3411045074462891E-7</v>
      </c>
      <c r="E111" s="23">
        <f>E47-E48-E49-E50-E51-E52-E53-E54-E55-E56-E57-E58-E59-E60-E61-E62</f>
        <v>1.1175870895385742E-7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97272339.75999999</v>
      </c>
      <c r="D112" s="23">
        <f t="shared" ref="D112:E112" si="16">D44-D47</f>
        <v>88493386.515500069</v>
      </c>
      <c r="E112" s="23">
        <f t="shared" si="16"/>
        <v>89396258.470999956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7">D67-0</f>
        <v>0</v>
      </c>
      <c r="E113" s="23">
        <f t="shared" si="17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>
        <f>D62/(D44-D30)*100</f>
        <v>4.3998751267518221</v>
      </c>
      <c r="E114" s="109">
        <f>E62/(E44-E30)*100</f>
        <v>8.8155487486503059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3.7252902984619141E-9</v>
      </c>
      <c r="D118" s="23">
        <f t="shared" ref="D118:E118" si="18">D70-D71-D72-D73</f>
        <v>0</v>
      </c>
      <c r="E118" s="23">
        <f t="shared" si="18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19298655.120000001</v>
      </c>
      <c r="D120" s="112">
        <f t="shared" ref="D120:E121" si="19">D72</f>
        <v>0</v>
      </c>
      <c r="E120" s="112">
        <f t="shared" si="19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9"/>
        <v>0</v>
      </c>
      <c r="E121" s="112">
        <f t="shared" si="19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42232046</v>
      </c>
      <c r="D123" s="23">
        <f t="shared" ref="D123:E123" si="20">D71-D119</f>
        <v>33785637</v>
      </c>
      <c r="E123" s="23">
        <f t="shared" si="20"/>
        <v>33785637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21">D49/C49*100-100</f>
        <v>#DIV/0!</v>
      </c>
      <c r="E126" s="116" t="e">
        <f t="shared" si="21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6">
    <mergeCell ref="B78:C78"/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zoomScale="60" zoomScaleNormal="60" workbookViewId="0">
      <selection activeCell="C17" sqref="C17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191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7"/>
      <c r="E9" s="58"/>
    </row>
    <row r="10" spans="1:5" s="7" customFormat="1" ht="18.75" x14ac:dyDescent="0.25">
      <c r="A10" s="29" t="s">
        <v>23</v>
      </c>
      <c r="B10" s="41" t="s">
        <v>10</v>
      </c>
      <c r="C10" s="59"/>
      <c r="D10" s="60"/>
      <c r="E10" s="60"/>
    </row>
    <row r="11" spans="1:5" ht="18.75" x14ac:dyDescent="0.25">
      <c r="A11" s="28" t="s">
        <v>24</v>
      </c>
      <c r="B11" s="42" t="s">
        <v>11</v>
      </c>
      <c r="C11" s="61"/>
      <c r="D11" s="62"/>
      <c r="E11" s="63"/>
    </row>
    <row r="12" spans="1:5" ht="18.75" x14ac:dyDescent="0.25">
      <c r="A12" s="28" t="s">
        <v>25</v>
      </c>
      <c r="B12" s="42" t="s">
        <v>12</v>
      </c>
      <c r="C12" s="61"/>
      <c r="D12" s="62"/>
      <c r="E12" s="63"/>
    </row>
    <row r="13" spans="1:5" ht="18.75" x14ac:dyDescent="0.25">
      <c r="A13" s="28" t="s">
        <v>26</v>
      </c>
      <c r="B13" s="42" t="s">
        <v>162</v>
      </c>
      <c r="C13" s="61"/>
      <c r="D13" s="62"/>
      <c r="E13" s="63"/>
    </row>
    <row r="14" spans="1:5" ht="18.75" x14ac:dyDescent="0.25">
      <c r="A14" s="28" t="s">
        <v>27</v>
      </c>
      <c r="B14" s="42" t="s">
        <v>13</v>
      </c>
      <c r="C14" s="61"/>
      <c r="D14" s="62"/>
      <c r="E14" s="63"/>
    </row>
    <row r="15" spans="1:5" ht="18.75" x14ac:dyDescent="0.25">
      <c r="A15" s="28" t="s">
        <v>28</v>
      </c>
      <c r="B15" s="42" t="s">
        <v>14</v>
      </c>
      <c r="C15" s="61"/>
      <c r="D15" s="62"/>
      <c r="E15" s="63"/>
    </row>
    <row r="16" spans="1:5" ht="18.75" x14ac:dyDescent="0.25">
      <c r="A16" s="28" t="s">
        <v>29</v>
      </c>
      <c r="B16" s="42" t="s">
        <v>15</v>
      </c>
      <c r="C16" s="61"/>
      <c r="D16" s="61"/>
      <c r="E16" s="61"/>
    </row>
    <row r="17" spans="1:19" ht="18.75" x14ac:dyDescent="0.25">
      <c r="A17" s="28" t="s">
        <v>30</v>
      </c>
      <c r="B17" s="42" t="s">
        <v>16</v>
      </c>
      <c r="C17" s="61"/>
      <c r="D17" s="62"/>
      <c r="E17" s="63"/>
    </row>
    <row r="18" spans="1:19" ht="18.75" x14ac:dyDescent="0.25">
      <c r="A18" s="28" t="s">
        <v>31</v>
      </c>
      <c r="B18" s="42" t="s">
        <v>17</v>
      </c>
      <c r="C18" s="61"/>
      <c r="D18" s="61"/>
      <c r="E18" s="61"/>
    </row>
    <row r="19" spans="1:19" ht="18.75" x14ac:dyDescent="0.25">
      <c r="A19" s="28" t="s">
        <v>32</v>
      </c>
      <c r="B19" s="42" t="s">
        <v>18</v>
      </c>
      <c r="C19" s="61"/>
      <c r="D19" s="62"/>
      <c r="E19" s="6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2"/>
      <c r="E21" s="63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C30+C40</f>
        <v>0</v>
      </c>
      <c r="D28" s="64">
        <f>D30+D40</f>
        <v>0</v>
      </c>
      <c r="E28" s="64">
        <f>E30+E40</f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C40</f>
        <v>0</v>
      </c>
      <c r="D29" s="123">
        <f t="shared" ref="D29:E29" si="1">D40</f>
        <v>0</v>
      </c>
      <c r="E29" s="123">
        <f t="shared" si="1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2">D31+D32+D33+D34+D35+D36+D37+D38+D39</f>
        <v>0</v>
      </c>
      <c r="E30" s="119">
        <f t="shared" si="2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3">SUM(C41:C43)</f>
        <v>0</v>
      </c>
      <c r="D40" s="121">
        <f t="shared" si="3"/>
        <v>0</v>
      </c>
      <c r="E40" s="121">
        <f t="shared" si="3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>C7</f>
        <v>0</v>
      </c>
      <c r="D44" s="68">
        <f t="shared" ref="D44:E44" si="4">D7</f>
        <v>0</v>
      </c>
      <c r="E44" s="68">
        <f t="shared" si="4"/>
        <v>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v>27152211.079999998</v>
      </c>
      <c r="D45" s="70">
        <v>24548123.579999998</v>
      </c>
      <c r="E45" s="71">
        <f>E47-E46</f>
        <v>24933519.009999998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10000</v>
      </c>
      <c r="D46" s="70">
        <v>10000</v>
      </c>
      <c r="E46" s="71">
        <v>10000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27162211.079999998</v>
      </c>
      <c r="D47" s="94">
        <f>D48+D49+D50+D51+D52+D53+D54+D55+D56+D57+D58+D59+D60+D61+D62</f>
        <v>24558123.579999998</v>
      </c>
      <c r="E47" s="94">
        <f>E48+E49+E50+E51+E52+E53+E54+E55+E56+E57+E58+E59+E60+E61+E62</f>
        <v>24943519.009999998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11533360</v>
      </c>
      <c r="D48" s="63">
        <v>11545600</v>
      </c>
      <c r="E48" s="63">
        <v>11545600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18.75" x14ac:dyDescent="0.25">
      <c r="A50" s="31" t="s">
        <v>103</v>
      </c>
      <c r="B50" s="95" t="s">
        <v>104</v>
      </c>
      <c r="C50" s="63">
        <v>400000</v>
      </c>
      <c r="D50" s="63">
        <v>400000</v>
      </c>
      <c r="E50" s="63">
        <v>400000</v>
      </c>
    </row>
    <row r="51" spans="1:19" s="8" customFormat="1" ht="18.75" x14ac:dyDescent="0.25">
      <c r="A51" s="31" t="s">
        <v>105</v>
      </c>
      <c r="B51" s="95" t="s">
        <v>106</v>
      </c>
      <c r="C51" s="63">
        <v>6900000</v>
      </c>
      <c r="D51" s="63">
        <v>6270000</v>
      </c>
      <c r="E51" s="63">
        <v>5970000</v>
      </c>
    </row>
    <row r="52" spans="1:19" s="8" customFormat="1" ht="18.75" x14ac:dyDescent="0.25">
      <c r="A52" s="31" t="s">
        <v>107</v>
      </c>
      <c r="B52" s="95" t="s">
        <v>109</v>
      </c>
      <c r="C52" s="63">
        <v>4500000</v>
      </c>
      <c r="D52" s="63">
        <v>3900000</v>
      </c>
      <c r="E52" s="63">
        <v>3900000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231887.97</v>
      </c>
      <c r="D54" s="63"/>
      <c r="E54" s="63"/>
    </row>
    <row r="55" spans="1:19" s="8" customFormat="1" ht="18.75" x14ac:dyDescent="0.25">
      <c r="A55" s="31" t="s">
        <v>112</v>
      </c>
      <c r="B55" s="95" t="s">
        <v>115</v>
      </c>
      <c r="C55" s="63">
        <v>2996963.11</v>
      </c>
      <c r="D55" s="63">
        <v>1228570.49</v>
      </c>
      <c r="E55" s="63">
        <f>1281343.06-600</f>
        <v>1280743.06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300000</v>
      </c>
      <c r="D57" s="63">
        <v>300000</v>
      </c>
      <c r="E57" s="63">
        <v>300000</v>
      </c>
    </row>
    <row r="58" spans="1:19" s="8" customFormat="1" ht="18.75" x14ac:dyDescent="0.25">
      <c r="A58" s="31" t="s">
        <v>118</v>
      </c>
      <c r="B58" s="95" t="s">
        <v>121</v>
      </c>
      <c r="C58" s="63">
        <v>300000</v>
      </c>
      <c r="D58" s="63">
        <v>300000</v>
      </c>
      <c r="E58" s="63">
        <v>300000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v>613953.09</v>
      </c>
      <c r="E62" s="63">
        <v>1247175.95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0</v>
      </c>
      <c r="D63" s="68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0</v>
      </c>
      <c r="D70" s="90">
        <f t="shared" ref="D70:E70" si="5">D71+D72+D73</f>
        <v>0</v>
      </c>
      <c r="E70" s="90">
        <f t="shared" si="5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/>
      <c r="D71" s="60"/>
      <c r="E71" s="60"/>
    </row>
    <row r="72" spans="1:25" s="8" customFormat="1" ht="56.25" x14ac:dyDescent="0.25">
      <c r="A72" s="31" t="s">
        <v>89</v>
      </c>
      <c r="B72" s="84" t="s">
        <v>74</v>
      </c>
      <c r="C72" s="59"/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189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190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6">D8-D9-D11-D12-D14-D15-D16-D17-D18-D19-D20-D21-D22-D23-D24-D25-D26-D27</f>
        <v>0</v>
      </c>
      <c r="E94" s="96">
        <f t="shared" si="6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7">C28-C30-C40</f>
        <v>0</v>
      </c>
      <c r="D95" s="96">
        <f t="shared" si="7"/>
        <v>0</v>
      </c>
      <c r="E95" s="96">
        <f t="shared" si="7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8">C30-C31-C32-C33-C34-C35-C36-C37-C38-C39</f>
        <v>0</v>
      </c>
      <c r="D96" s="96">
        <f t="shared" si="8"/>
        <v>0</v>
      </c>
      <c r="E96" s="96">
        <f t="shared" si="8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9">D40-D41-D42-D43</f>
        <v>0</v>
      </c>
      <c r="E97" s="96">
        <f t="shared" si="9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0">C31-C99</f>
        <v>0</v>
      </c>
      <c r="D103" s="96">
        <f t="shared" si="10"/>
        <v>0</v>
      </c>
      <c r="E103" s="96">
        <f t="shared" si="10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0"/>
        <v>0</v>
      </c>
      <c r="D104" s="96">
        <f t="shared" si="10"/>
        <v>0</v>
      </c>
      <c r="E104" s="96">
        <f t="shared" si="10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1">D41-D101</f>
        <v>0</v>
      </c>
      <c r="E105" s="96">
        <f t="shared" si="11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1"/>
        <v>0</v>
      </c>
      <c r="E106" s="96">
        <f t="shared" si="11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2">C29-C31-C32-C33-C34-C41-C42-C43</f>
        <v>0</v>
      </c>
      <c r="D108" s="104">
        <f t="shared" si="12"/>
        <v>0</v>
      </c>
      <c r="E108" s="104">
        <f t="shared" si="12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-27162211.079999998</v>
      </c>
      <c r="D110" s="23">
        <f t="shared" ref="D110:E110" si="13">D44-D45-D46</f>
        <v>-24558123.579999998</v>
      </c>
      <c r="E110" s="23">
        <f t="shared" si="13"/>
        <v>-24943519.009999998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-1.862645149230957E-9</v>
      </c>
      <c r="D111" s="23">
        <f>D47-D48-D49-D50-D51-D52-D53-D54-D55-D56-D57-D58-D59-D60-D61-D62</f>
        <v>-1.7462298274040222E-9</v>
      </c>
      <c r="E111" s="23">
        <f>E47-E48-E49-E50-E51-E52-E53-E54-E55-E56-E57-E58-E59-E60-E61-E62</f>
        <v>-2.0954757928848267E-9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-27162211.079999998</v>
      </c>
      <c r="D112" s="23">
        <f t="shared" ref="D112:E112" si="14">D44-D47</f>
        <v>-24558123.579999998</v>
      </c>
      <c r="E112" s="23">
        <f t="shared" si="14"/>
        <v>-24943519.009999998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5">D67-0</f>
        <v>0</v>
      </c>
      <c r="E113" s="23">
        <f t="shared" si="15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 t="e">
        <f>D62/(D44-D30)*100</f>
        <v>#DIV/0!</v>
      </c>
      <c r="E114" s="109" t="e">
        <f>E62/(E44-E30)*100</f>
        <v>#DIV/0!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6">D70-D71-D72-D73</f>
        <v>0</v>
      </c>
      <c r="E118" s="23">
        <f t="shared" si="16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0</v>
      </c>
      <c r="D120" s="112">
        <f t="shared" ref="D120:E121" si="17">D72</f>
        <v>0</v>
      </c>
      <c r="E120" s="112">
        <f t="shared" si="17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7"/>
        <v>0</v>
      </c>
      <c r="E121" s="112">
        <f t="shared" si="17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0</v>
      </c>
      <c r="D123" s="23">
        <f t="shared" ref="D123:E123" si="18">D71-D119</f>
        <v>0</v>
      </c>
      <c r="E123" s="23">
        <f t="shared" si="18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19">D49/C49*100-100</f>
        <v>#DIV/0!</v>
      </c>
      <c r="E126" s="116" t="e">
        <f t="shared" si="19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7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9" sqref="C9:E25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177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7"/>
      <c r="E9" s="58"/>
    </row>
    <row r="10" spans="1:5" s="7" customFormat="1" ht="18.75" x14ac:dyDescent="0.25">
      <c r="A10" s="29" t="s">
        <v>23</v>
      </c>
      <c r="B10" s="41" t="s">
        <v>10</v>
      </c>
      <c r="C10" s="59"/>
      <c r="D10" s="60"/>
      <c r="E10" s="60"/>
    </row>
    <row r="11" spans="1:5" ht="18.75" x14ac:dyDescent="0.25">
      <c r="A11" s="28" t="s">
        <v>24</v>
      </c>
      <c r="B11" s="42" t="s">
        <v>11</v>
      </c>
      <c r="C11" s="61"/>
      <c r="D11" s="62"/>
      <c r="E11" s="63"/>
    </row>
    <row r="12" spans="1:5" ht="18.75" x14ac:dyDescent="0.25">
      <c r="A12" s="28" t="s">
        <v>25</v>
      </c>
      <c r="B12" s="42" t="s">
        <v>12</v>
      </c>
      <c r="C12" s="61"/>
      <c r="D12" s="62"/>
      <c r="E12" s="63"/>
    </row>
    <row r="13" spans="1:5" ht="18.75" x14ac:dyDescent="0.25">
      <c r="A13" s="28" t="s">
        <v>26</v>
      </c>
      <c r="B13" s="42" t="s">
        <v>162</v>
      </c>
      <c r="C13" s="61"/>
      <c r="D13" s="62"/>
      <c r="E13" s="63"/>
    </row>
    <row r="14" spans="1:5" ht="18.75" x14ac:dyDescent="0.25">
      <c r="A14" s="28" t="s">
        <v>27</v>
      </c>
      <c r="B14" s="42" t="s">
        <v>13</v>
      </c>
      <c r="C14" s="61"/>
      <c r="D14" s="62"/>
      <c r="E14" s="63"/>
    </row>
    <row r="15" spans="1:5" ht="18.75" x14ac:dyDescent="0.25">
      <c r="A15" s="28" t="s">
        <v>28</v>
      </c>
      <c r="B15" s="42" t="s">
        <v>14</v>
      </c>
      <c r="C15" s="61"/>
      <c r="D15" s="62"/>
      <c r="E15" s="63"/>
    </row>
    <row r="16" spans="1:5" ht="18.75" x14ac:dyDescent="0.25">
      <c r="A16" s="28" t="s">
        <v>29</v>
      </c>
      <c r="B16" s="42" t="s">
        <v>15</v>
      </c>
      <c r="C16" s="61"/>
      <c r="D16" s="62"/>
      <c r="E16" s="63"/>
    </row>
    <row r="17" spans="1:19" ht="18.75" x14ac:dyDescent="0.25">
      <c r="A17" s="28" t="s">
        <v>30</v>
      </c>
      <c r="B17" s="42" t="s">
        <v>16</v>
      </c>
      <c r="C17" s="61"/>
      <c r="D17" s="62"/>
      <c r="E17" s="63"/>
    </row>
    <row r="18" spans="1:19" ht="18.75" x14ac:dyDescent="0.25">
      <c r="A18" s="28" t="s">
        <v>31</v>
      </c>
      <c r="B18" s="42" t="s">
        <v>17</v>
      </c>
      <c r="C18" s="61"/>
      <c r="D18" s="62"/>
      <c r="E18" s="63"/>
    </row>
    <row r="19" spans="1:19" ht="18.75" x14ac:dyDescent="0.25">
      <c r="A19" s="28" t="s">
        <v>32</v>
      </c>
      <c r="B19" s="42" t="s">
        <v>18</v>
      </c>
      <c r="C19" s="61"/>
      <c r="D19" s="62"/>
      <c r="E19" s="6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2"/>
      <c r="E21" s="63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C30+C40</f>
        <v>0</v>
      </c>
      <c r="D28" s="64">
        <f>D30+D40</f>
        <v>0</v>
      </c>
      <c r="E28" s="64">
        <f>E30+E40</f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C31+C32+C33+C34+C41+C42+C43</f>
        <v>0</v>
      </c>
      <c r="D29" s="123">
        <f t="shared" ref="D29:E29" si="1">D31+D32+D33+D34+D41+D42+D43</f>
        <v>0</v>
      </c>
      <c r="E29" s="123">
        <f t="shared" si="1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2">D31+D32+D33+D34+D35+D36+D37+D38+D39</f>
        <v>0</v>
      </c>
      <c r="E30" s="119">
        <f t="shared" si="2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3">SUM(C41:C43)</f>
        <v>0</v>
      </c>
      <c r="D40" s="121">
        <f t="shared" si="3"/>
        <v>0</v>
      </c>
      <c r="E40" s="121">
        <f t="shared" si="3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>C7</f>
        <v>0</v>
      </c>
      <c r="D44" s="68">
        <f t="shared" ref="D44:E44" si="4">D7</f>
        <v>0</v>
      </c>
      <c r="E44" s="68">
        <f t="shared" si="4"/>
        <v>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f>C47-C46</f>
        <v>8530777.2599999998</v>
      </c>
      <c r="D45" s="69">
        <f t="shared" ref="D45:E45" si="5">D47-D46</f>
        <v>7650536.25</v>
      </c>
      <c r="E45" s="69">
        <f t="shared" si="5"/>
        <v>7777323.7400000002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10000</v>
      </c>
      <c r="D46" s="70"/>
      <c r="E46" s="7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8540777.2599999998</v>
      </c>
      <c r="D47" s="94">
        <f>D48+D49+D50+D51+D52+D53+D54+D55+D56+D57+D58+D59+D60+D61+D62</f>
        <v>7650536.25</v>
      </c>
      <c r="E47" s="94">
        <f>E48+E49+E50+E51+E52+E53+E54+E55+E56+E57+E58+E59+E60+E61+E62</f>
        <v>7777323.7400000002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3842519.3</v>
      </c>
      <c r="D48" s="63">
        <v>4163313.62</v>
      </c>
      <c r="E48" s="63">
        <v>4163313.62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18.75" x14ac:dyDescent="0.25">
      <c r="A50" s="31" t="s">
        <v>103</v>
      </c>
      <c r="B50" s="95" t="s">
        <v>104</v>
      </c>
      <c r="C50" s="63">
        <v>100000</v>
      </c>
      <c r="D50" s="63">
        <v>100000</v>
      </c>
      <c r="E50" s="63">
        <v>100000</v>
      </c>
    </row>
    <row r="51" spans="1:19" s="8" customFormat="1" ht="18.75" x14ac:dyDescent="0.25">
      <c r="A51" s="31" t="s">
        <v>105</v>
      </c>
      <c r="B51" s="95" t="s">
        <v>106</v>
      </c>
      <c r="C51" s="63">
        <v>1595260</v>
      </c>
      <c r="D51" s="63">
        <v>1561870</v>
      </c>
      <c r="E51" s="63">
        <v>1633070</v>
      </c>
    </row>
    <row r="52" spans="1:19" s="8" customFormat="1" ht="18.75" x14ac:dyDescent="0.25">
      <c r="A52" s="31" t="s">
        <v>107</v>
      </c>
      <c r="B52" s="95" t="s">
        <v>109</v>
      </c>
      <c r="C52" s="63">
        <v>300000</v>
      </c>
      <c r="D52" s="63">
        <v>300000</v>
      </c>
      <c r="E52" s="63">
        <v>300000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254853.11</v>
      </c>
      <c r="D54" s="63"/>
      <c r="E54" s="63"/>
    </row>
    <row r="55" spans="1:19" s="8" customFormat="1" ht="18.75" x14ac:dyDescent="0.25">
      <c r="A55" s="31" t="s">
        <v>112</v>
      </c>
      <c r="B55" s="95" t="s">
        <v>115</v>
      </c>
      <c r="C55" s="63">
        <v>2228144.85</v>
      </c>
      <c r="D55" s="63">
        <v>1114089.22</v>
      </c>
      <c r="E55" s="63">
        <v>972073.93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170000</v>
      </c>
      <c r="D57" s="63">
        <v>170000</v>
      </c>
      <c r="E57" s="63">
        <v>170000</v>
      </c>
    </row>
    <row r="58" spans="1:19" s="8" customFormat="1" ht="18.75" x14ac:dyDescent="0.25">
      <c r="A58" s="31" t="s">
        <v>118</v>
      </c>
      <c r="B58" s="95" t="s">
        <v>121</v>
      </c>
      <c r="C58" s="63">
        <v>50000</v>
      </c>
      <c r="D58" s="63">
        <v>50000</v>
      </c>
      <c r="E58" s="63">
        <v>50000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v>191263.41</v>
      </c>
      <c r="E62" s="63">
        <v>388866.19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0</v>
      </c>
      <c r="D63" s="68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0</v>
      </c>
      <c r="D70" s="90">
        <f t="shared" ref="D70:E70" si="6">D71+D72+D73</f>
        <v>0</v>
      </c>
      <c r="E70" s="90">
        <f t="shared" si="6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/>
      <c r="D71" s="60"/>
      <c r="E71" s="60"/>
    </row>
    <row r="72" spans="1:25" s="8" customFormat="1" ht="56.25" x14ac:dyDescent="0.25">
      <c r="A72" s="31" t="s">
        <v>89</v>
      </c>
      <c r="B72" s="84" t="s">
        <v>74</v>
      </c>
      <c r="C72" s="59"/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94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64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7">D8-D9-D11-D12-D14-D15-D16-D17-D18-D19-D20-D21-D22-D23-D24-D25-D26-D27</f>
        <v>0</v>
      </c>
      <c r="E94" s="96">
        <f t="shared" si="7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8">C28-C30-C40</f>
        <v>0</v>
      </c>
      <c r="D95" s="96">
        <f t="shared" si="8"/>
        <v>0</v>
      </c>
      <c r="E95" s="96">
        <f t="shared" si="8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9">C30-C31-C32-C33-C34-C35-C36-C37-C38-C39</f>
        <v>0</v>
      </c>
      <c r="D96" s="96">
        <f t="shared" si="9"/>
        <v>0</v>
      </c>
      <c r="E96" s="96">
        <f t="shared" si="9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10">D40-D41-D42-D43</f>
        <v>0</v>
      </c>
      <c r="E97" s="96">
        <f t="shared" si="10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1">C31-C99</f>
        <v>0</v>
      </c>
      <c r="D103" s="96">
        <f t="shared" si="11"/>
        <v>0</v>
      </c>
      <c r="E103" s="96">
        <f t="shared" si="11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1"/>
        <v>0</v>
      </c>
      <c r="D104" s="96">
        <f t="shared" si="11"/>
        <v>0</v>
      </c>
      <c r="E104" s="96">
        <f t="shared" si="11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2">D41-D101</f>
        <v>0</v>
      </c>
      <c r="E105" s="96">
        <f t="shared" si="12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2"/>
        <v>0</v>
      </c>
      <c r="E106" s="96">
        <f t="shared" si="12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3">C29-C31-C32-C33-C34-C41-C42-C43</f>
        <v>0</v>
      </c>
      <c r="D108" s="104">
        <f t="shared" si="13"/>
        <v>0</v>
      </c>
      <c r="E108" s="104">
        <f t="shared" si="13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-8540777.2599999998</v>
      </c>
      <c r="D110" s="23">
        <f t="shared" ref="D110:E110" si="14">D44-D45-D46</f>
        <v>-7650536.25</v>
      </c>
      <c r="E110" s="23">
        <f t="shared" si="14"/>
        <v>-7777323.7400000002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0</v>
      </c>
      <c r="D111" s="23">
        <f>D47-D48-D49-D50-D51-D52-D53-D54-D55-D56-D57-D58-D59-D60-D61-D62</f>
        <v>0</v>
      </c>
      <c r="E111" s="23">
        <f>E47-E48-E49-E50-E51-E52-E53-E54-E55-E56-E57-E58-E59-E60-E61-E62</f>
        <v>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-8540777.2599999998</v>
      </c>
      <c r="D112" s="23">
        <f t="shared" ref="D112:E112" si="15">D44-D47</f>
        <v>-7650536.25</v>
      </c>
      <c r="E112" s="23">
        <f t="shared" si="15"/>
        <v>-7777323.7400000002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6">D67-0</f>
        <v>0</v>
      </c>
      <c r="E113" s="23">
        <f t="shared" si="16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 t="e">
        <f>D62/(D44-D30)*100</f>
        <v>#DIV/0!</v>
      </c>
      <c r="E114" s="109" t="e">
        <f>E62/(E44-E30)*100</f>
        <v>#DIV/0!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7">D70-D71-D72-D73</f>
        <v>0</v>
      </c>
      <c r="E118" s="23">
        <f t="shared" si="17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0</v>
      </c>
      <c r="D120" s="112">
        <f t="shared" ref="D120:E121" si="18">D72</f>
        <v>0</v>
      </c>
      <c r="E120" s="112">
        <f t="shared" si="18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8"/>
        <v>0</v>
      </c>
      <c r="E121" s="112">
        <f t="shared" si="18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0</v>
      </c>
      <c r="D123" s="23">
        <f t="shared" ref="D123:E123" si="19">D71-D119</f>
        <v>0</v>
      </c>
      <c r="E123" s="23">
        <f t="shared" si="19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20">D49/C49*100-100</f>
        <v>#DIV/0!</v>
      </c>
      <c r="E126" s="116" t="e">
        <f t="shared" si="20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B77:C77"/>
    <mergeCell ref="A2:E2"/>
    <mergeCell ref="C4:E4"/>
    <mergeCell ref="A4:A5"/>
    <mergeCell ref="B4:B5"/>
  </mergeCells>
  <printOptions horizontalCentered="1"/>
  <pageMargins left="0" right="0" top="0" bottom="0" header="0" footer="0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zoomScale="60" zoomScaleNormal="60" workbookViewId="0">
      <selection activeCell="C9" sqref="C9:E25"/>
    </sheetView>
  </sheetViews>
  <sheetFormatPr defaultColWidth="9.140625" defaultRowHeight="15" x14ac:dyDescent="0.25"/>
  <cols>
    <col min="1" max="1" width="9.28515625" style="127" customWidth="1"/>
    <col min="2" max="2" width="90.5703125" style="127" customWidth="1"/>
    <col min="3" max="5" width="30.140625" style="127" customWidth="1"/>
    <col min="6" max="9" width="7.85546875" style="127" customWidth="1"/>
    <col min="10" max="238" width="9.140625" style="127"/>
    <col min="239" max="239" width="14.140625" style="127" customWidth="1"/>
    <col min="240" max="240" width="57.28515625" style="127" customWidth="1"/>
    <col min="241" max="256" width="27" style="127" customWidth="1"/>
    <col min="257" max="494" width="9.140625" style="127"/>
    <col min="495" max="495" width="14.140625" style="127" customWidth="1"/>
    <col min="496" max="496" width="57.28515625" style="127" customWidth="1"/>
    <col min="497" max="512" width="27" style="127" customWidth="1"/>
    <col min="513" max="750" width="9.140625" style="127"/>
    <col min="751" max="751" width="14.140625" style="127" customWidth="1"/>
    <col min="752" max="752" width="57.28515625" style="127" customWidth="1"/>
    <col min="753" max="768" width="27" style="127" customWidth="1"/>
    <col min="769" max="1006" width="9.140625" style="127"/>
    <col min="1007" max="1007" width="14.140625" style="127" customWidth="1"/>
    <col min="1008" max="1008" width="57.28515625" style="127" customWidth="1"/>
    <col min="1009" max="1024" width="27" style="127" customWidth="1"/>
    <col min="1025" max="1262" width="9.140625" style="127"/>
    <col min="1263" max="1263" width="14.140625" style="127" customWidth="1"/>
    <col min="1264" max="1264" width="57.28515625" style="127" customWidth="1"/>
    <col min="1265" max="1280" width="27" style="127" customWidth="1"/>
    <col min="1281" max="1518" width="9.140625" style="127"/>
    <col min="1519" max="1519" width="14.140625" style="127" customWidth="1"/>
    <col min="1520" max="1520" width="57.28515625" style="127" customWidth="1"/>
    <col min="1521" max="1536" width="27" style="127" customWidth="1"/>
    <col min="1537" max="1774" width="9.140625" style="127"/>
    <col min="1775" max="1775" width="14.140625" style="127" customWidth="1"/>
    <col min="1776" max="1776" width="57.28515625" style="127" customWidth="1"/>
    <col min="1777" max="1792" width="27" style="127" customWidth="1"/>
    <col min="1793" max="2030" width="9.140625" style="127"/>
    <col min="2031" max="2031" width="14.140625" style="127" customWidth="1"/>
    <col min="2032" max="2032" width="57.28515625" style="127" customWidth="1"/>
    <col min="2033" max="2048" width="27" style="127" customWidth="1"/>
    <col min="2049" max="2286" width="9.140625" style="127"/>
    <col min="2287" max="2287" width="14.140625" style="127" customWidth="1"/>
    <col min="2288" max="2288" width="57.28515625" style="127" customWidth="1"/>
    <col min="2289" max="2304" width="27" style="127" customWidth="1"/>
    <col min="2305" max="2542" width="9.140625" style="127"/>
    <col min="2543" max="2543" width="14.140625" style="127" customWidth="1"/>
    <col min="2544" max="2544" width="57.28515625" style="127" customWidth="1"/>
    <col min="2545" max="2560" width="27" style="127" customWidth="1"/>
    <col min="2561" max="2798" width="9.140625" style="127"/>
    <col min="2799" max="2799" width="14.140625" style="127" customWidth="1"/>
    <col min="2800" max="2800" width="57.28515625" style="127" customWidth="1"/>
    <col min="2801" max="2816" width="27" style="127" customWidth="1"/>
    <col min="2817" max="3054" width="9.140625" style="127"/>
    <col min="3055" max="3055" width="14.140625" style="127" customWidth="1"/>
    <col min="3056" max="3056" width="57.28515625" style="127" customWidth="1"/>
    <col min="3057" max="3072" width="27" style="127" customWidth="1"/>
    <col min="3073" max="3310" width="9.140625" style="127"/>
    <col min="3311" max="3311" width="14.140625" style="127" customWidth="1"/>
    <col min="3312" max="3312" width="57.28515625" style="127" customWidth="1"/>
    <col min="3313" max="3328" width="27" style="127" customWidth="1"/>
    <col min="3329" max="3566" width="9.140625" style="127"/>
    <col min="3567" max="3567" width="14.140625" style="127" customWidth="1"/>
    <col min="3568" max="3568" width="57.28515625" style="127" customWidth="1"/>
    <col min="3569" max="3584" width="27" style="127" customWidth="1"/>
    <col min="3585" max="3822" width="9.140625" style="127"/>
    <col min="3823" max="3823" width="14.140625" style="127" customWidth="1"/>
    <col min="3824" max="3824" width="57.28515625" style="127" customWidth="1"/>
    <col min="3825" max="3840" width="27" style="127" customWidth="1"/>
    <col min="3841" max="4078" width="9.140625" style="127"/>
    <col min="4079" max="4079" width="14.140625" style="127" customWidth="1"/>
    <col min="4080" max="4080" width="57.28515625" style="127" customWidth="1"/>
    <col min="4081" max="4096" width="27" style="127" customWidth="1"/>
    <col min="4097" max="4334" width="9.140625" style="127"/>
    <col min="4335" max="4335" width="14.140625" style="127" customWidth="1"/>
    <col min="4336" max="4336" width="57.28515625" style="127" customWidth="1"/>
    <col min="4337" max="4352" width="27" style="127" customWidth="1"/>
    <col min="4353" max="4590" width="9.140625" style="127"/>
    <col min="4591" max="4591" width="14.140625" style="127" customWidth="1"/>
    <col min="4592" max="4592" width="57.28515625" style="127" customWidth="1"/>
    <col min="4593" max="4608" width="27" style="127" customWidth="1"/>
    <col min="4609" max="4846" width="9.140625" style="127"/>
    <col min="4847" max="4847" width="14.140625" style="127" customWidth="1"/>
    <col min="4848" max="4848" width="57.28515625" style="127" customWidth="1"/>
    <col min="4849" max="4864" width="27" style="127" customWidth="1"/>
    <col min="4865" max="5102" width="9.140625" style="127"/>
    <col min="5103" max="5103" width="14.140625" style="127" customWidth="1"/>
    <col min="5104" max="5104" width="57.28515625" style="127" customWidth="1"/>
    <col min="5105" max="5120" width="27" style="127" customWidth="1"/>
    <col min="5121" max="5358" width="9.140625" style="127"/>
    <col min="5359" max="5359" width="14.140625" style="127" customWidth="1"/>
    <col min="5360" max="5360" width="57.28515625" style="127" customWidth="1"/>
    <col min="5361" max="5376" width="27" style="127" customWidth="1"/>
    <col min="5377" max="5614" width="9.140625" style="127"/>
    <col min="5615" max="5615" width="14.140625" style="127" customWidth="1"/>
    <col min="5616" max="5616" width="57.28515625" style="127" customWidth="1"/>
    <col min="5617" max="5632" width="27" style="127" customWidth="1"/>
    <col min="5633" max="5870" width="9.140625" style="127"/>
    <col min="5871" max="5871" width="14.140625" style="127" customWidth="1"/>
    <col min="5872" max="5872" width="57.28515625" style="127" customWidth="1"/>
    <col min="5873" max="5888" width="27" style="127" customWidth="1"/>
    <col min="5889" max="6126" width="9.140625" style="127"/>
    <col min="6127" max="6127" width="14.140625" style="127" customWidth="1"/>
    <col min="6128" max="6128" width="57.28515625" style="127" customWidth="1"/>
    <col min="6129" max="6144" width="27" style="127" customWidth="1"/>
    <col min="6145" max="6382" width="9.140625" style="127"/>
    <col min="6383" max="6383" width="14.140625" style="127" customWidth="1"/>
    <col min="6384" max="6384" width="57.28515625" style="127" customWidth="1"/>
    <col min="6385" max="6400" width="27" style="127" customWidth="1"/>
    <col min="6401" max="6638" width="9.140625" style="127"/>
    <col min="6639" max="6639" width="14.140625" style="127" customWidth="1"/>
    <col min="6640" max="6640" width="57.28515625" style="127" customWidth="1"/>
    <col min="6641" max="6656" width="27" style="127" customWidth="1"/>
    <col min="6657" max="6894" width="9.140625" style="127"/>
    <col min="6895" max="6895" width="14.140625" style="127" customWidth="1"/>
    <col min="6896" max="6896" width="57.28515625" style="127" customWidth="1"/>
    <col min="6897" max="6912" width="27" style="127" customWidth="1"/>
    <col min="6913" max="7150" width="9.140625" style="127"/>
    <col min="7151" max="7151" width="14.140625" style="127" customWidth="1"/>
    <col min="7152" max="7152" width="57.28515625" style="127" customWidth="1"/>
    <col min="7153" max="7168" width="27" style="127" customWidth="1"/>
    <col min="7169" max="7406" width="9.140625" style="127"/>
    <col min="7407" max="7407" width="14.140625" style="127" customWidth="1"/>
    <col min="7408" max="7408" width="57.28515625" style="127" customWidth="1"/>
    <col min="7409" max="7424" width="27" style="127" customWidth="1"/>
    <col min="7425" max="7662" width="9.140625" style="127"/>
    <col min="7663" max="7663" width="14.140625" style="127" customWidth="1"/>
    <col min="7664" max="7664" width="57.28515625" style="127" customWidth="1"/>
    <col min="7665" max="7680" width="27" style="127" customWidth="1"/>
    <col min="7681" max="7918" width="9.140625" style="127"/>
    <col min="7919" max="7919" width="14.140625" style="127" customWidth="1"/>
    <col min="7920" max="7920" width="57.28515625" style="127" customWidth="1"/>
    <col min="7921" max="7936" width="27" style="127" customWidth="1"/>
    <col min="7937" max="8174" width="9.140625" style="127"/>
    <col min="8175" max="8175" width="14.140625" style="127" customWidth="1"/>
    <col min="8176" max="8176" width="57.28515625" style="127" customWidth="1"/>
    <col min="8177" max="8192" width="27" style="127" customWidth="1"/>
    <col min="8193" max="8430" width="9.140625" style="127"/>
    <col min="8431" max="8431" width="14.140625" style="127" customWidth="1"/>
    <col min="8432" max="8432" width="57.28515625" style="127" customWidth="1"/>
    <col min="8433" max="8448" width="27" style="127" customWidth="1"/>
    <col min="8449" max="8686" width="9.140625" style="127"/>
    <col min="8687" max="8687" width="14.140625" style="127" customWidth="1"/>
    <col min="8688" max="8688" width="57.28515625" style="127" customWidth="1"/>
    <col min="8689" max="8704" width="27" style="127" customWidth="1"/>
    <col min="8705" max="8942" width="9.140625" style="127"/>
    <col min="8943" max="8943" width="14.140625" style="127" customWidth="1"/>
    <col min="8944" max="8944" width="57.28515625" style="127" customWidth="1"/>
    <col min="8945" max="8960" width="27" style="127" customWidth="1"/>
    <col min="8961" max="9198" width="9.140625" style="127"/>
    <col min="9199" max="9199" width="14.140625" style="127" customWidth="1"/>
    <col min="9200" max="9200" width="57.28515625" style="127" customWidth="1"/>
    <col min="9201" max="9216" width="27" style="127" customWidth="1"/>
    <col min="9217" max="9454" width="9.140625" style="127"/>
    <col min="9455" max="9455" width="14.140625" style="127" customWidth="1"/>
    <col min="9456" max="9456" width="57.28515625" style="127" customWidth="1"/>
    <col min="9457" max="9472" width="27" style="127" customWidth="1"/>
    <col min="9473" max="9710" width="9.140625" style="127"/>
    <col min="9711" max="9711" width="14.140625" style="127" customWidth="1"/>
    <col min="9712" max="9712" width="57.28515625" style="127" customWidth="1"/>
    <col min="9713" max="9728" width="27" style="127" customWidth="1"/>
    <col min="9729" max="9966" width="9.140625" style="127"/>
    <col min="9967" max="9967" width="14.140625" style="127" customWidth="1"/>
    <col min="9968" max="9968" width="57.28515625" style="127" customWidth="1"/>
    <col min="9969" max="9984" width="27" style="127" customWidth="1"/>
    <col min="9985" max="10222" width="9.140625" style="127"/>
    <col min="10223" max="10223" width="14.140625" style="127" customWidth="1"/>
    <col min="10224" max="10224" width="57.28515625" style="127" customWidth="1"/>
    <col min="10225" max="10240" width="27" style="127" customWidth="1"/>
    <col min="10241" max="10478" width="9.140625" style="127"/>
    <col min="10479" max="10479" width="14.140625" style="127" customWidth="1"/>
    <col min="10480" max="10480" width="57.28515625" style="127" customWidth="1"/>
    <col min="10481" max="10496" width="27" style="127" customWidth="1"/>
    <col min="10497" max="10734" width="9.140625" style="127"/>
    <col min="10735" max="10735" width="14.140625" style="127" customWidth="1"/>
    <col min="10736" max="10736" width="57.28515625" style="127" customWidth="1"/>
    <col min="10737" max="10752" width="27" style="127" customWidth="1"/>
    <col min="10753" max="10990" width="9.140625" style="127"/>
    <col min="10991" max="10991" width="14.140625" style="127" customWidth="1"/>
    <col min="10992" max="10992" width="57.28515625" style="127" customWidth="1"/>
    <col min="10993" max="11008" width="27" style="127" customWidth="1"/>
    <col min="11009" max="11246" width="9.140625" style="127"/>
    <col min="11247" max="11247" width="14.140625" style="127" customWidth="1"/>
    <col min="11248" max="11248" width="57.28515625" style="127" customWidth="1"/>
    <col min="11249" max="11264" width="27" style="127" customWidth="1"/>
    <col min="11265" max="11502" width="9.140625" style="127"/>
    <col min="11503" max="11503" width="14.140625" style="127" customWidth="1"/>
    <col min="11504" max="11504" width="57.28515625" style="127" customWidth="1"/>
    <col min="11505" max="11520" width="27" style="127" customWidth="1"/>
    <col min="11521" max="11758" width="9.140625" style="127"/>
    <col min="11759" max="11759" width="14.140625" style="127" customWidth="1"/>
    <col min="11760" max="11760" width="57.28515625" style="127" customWidth="1"/>
    <col min="11761" max="11776" width="27" style="127" customWidth="1"/>
    <col min="11777" max="12014" width="9.140625" style="127"/>
    <col min="12015" max="12015" width="14.140625" style="127" customWidth="1"/>
    <col min="12016" max="12016" width="57.28515625" style="127" customWidth="1"/>
    <col min="12017" max="12032" width="27" style="127" customWidth="1"/>
    <col min="12033" max="12270" width="9.140625" style="127"/>
    <col min="12271" max="12271" width="14.140625" style="127" customWidth="1"/>
    <col min="12272" max="12272" width="57.28515625" style="127" customWidth="1"/>
    <col min="12273" max="12288" width="27" style="127" customWidth="1"/>
    <col min="12289" max="12526" width="9.140625" style="127"/>
    <col min="12527" max="12527" width="14.140625" style="127" customWidth="1"/>
    <col min="12528" max="12528" width="57.28515625" style="127" customWidth="1"/>
    <col min="12529" max="12544" width="27" style="127" customWidth="1"/>
    <col min="12545" max="12782" width="9.140625" style="127"/>
    <col min="12783" max="12783" width="14.140625" style="127" customWidth="1"/>
    <col min="12784" max="12784" width="57.28515625" style="127" customWidth="1"/>
    <col min="12785" max="12800" width="27" style="127" customWidth="1"/>
    <col min="12801" max="13038" width="9.140625" style="127"/>
    <col min="13039" max="13039" width="14.140625" style="127" customWidth="1"/>
    <col min="13040" max="13040" width="57.28515625" style="127" customWidth="1"/>
    <col min="13041" max="13056" width="27" style="127" customWidth="1"/>
    <col min="13057" max="13294" width="9.140625" style="127"/>
    <col min="13295" max="13295" width="14.140625" style="127" customWidth="1"/>
    <col min="13296" max="13296" width="57.28515625" style="127" customWidth="1"/>
    <col min="13297" max="13312" width="27" style="127" customWidth="1"/>
    <col min="13313" max="13550" width="9.140625" style="127"/>
    <col min="13551" max="13551" width="14.140625" style="127" customWidth="1"/>
    <col min="13552" max="13552" width="57.28515625" style="127" customWidth="1"/>
    <col min="13553" max="13568" width="27" style="127" customWidth="1"/>
    <col min="13569" max="13806" width="9.140625" style="127"/>
    <col min="13807" max="13807" width="14.140625" style="127" customWidth="1"/>
    <col min="13808" max="13808" width="57.28515625" style="127" customWidth="1"/>
    <col min="13809" max="13824" width="27" style="127" customWidth="1"/>
    <col min="13825" max="14062" width="9.140625" style="127"/>
    <col min="14063" max="14063" width="14.140625" style="127" customWidth="1"/>
    <col min="14064" max="14064" width="57.28515625" style="127" customWidth="1"/>
    <col min="14065" max="14080" width="27" style="127" customWidth="1"/>
    <col min="14081" max="14318" width="9.140625" style="127"/>
    <col min="14319" max="14319" width="14.140625" style="127" customWidth="1"/>
    <col min="14320" max="14320" width="57.28515625" style="127" customWidth="1"/>
    <col min="14321" max="14336" width="27" style="127" customWidth="1"/>
    <col min="14337" max="14574" width="9.140625" style="127"/>
    <col min="14575" max="14575" width="14.140625" style="127" customWidth="1"/>
    <col min="14576" max="14576" width="57.28515625" style="127" customWidth="1"/>
    <col min="14577" max="14592" width="27" style="127" customWidth="1"/>
    <col min="14593" max="14830" width="9.140625" style="127"/>
    <col min="14831" max="14831" width="14.140625" style="127" customWidth="1"/>
    <col min="14832" max="14832" width="57.28515625" style="127" customWidth="1"/>
    <col min="14833" max="14848" width="27" style="127" customWidth="1"/>
    <col min="14849" max="15086" width="9.140625" style="127"/>
    <col min="15087" max="15087" width="14.140625" style="127" customWidth="1"/>
    <col min="15088" max="15088" width="57.28515625" style="127" customWidth="1"/>
    <col min="15089" max="15104" width="27" style="127" customWidth="1"/>
    <col min="15105" max="15342" width="9.140625" style="127"/>
    <col min="15343" max="15343" width="14.140625" style="127" customWidth="1"/>
    <col min="15344" max="15344" width="57.28515625" style="127" customWidth="1"/>
    <col min="15345" max="15360" width="27" style="127" customWidth="1"/>
    <col min="15361" max="15598" width="9.140625" style="127"/>
    <col min="15599" max="15599" width="14.140625" style="127" customWidth="1"/>
    <col min="15600" max="15600" width="57.28515625" style="127" customWidth="1"/>
    <col min="15601" max="15616" width="27" style="127" customWidth="1"/>
    <col min="15617" max="15854" width="9.140625" style="127"/>
    <col min="15855" max="15855" width="14.140625" style="127" customWidth="1"/>
    <col min="15856" max="15856" width="57.28515625" style="127" customWidth="1"/>
    <col min="15857" max="15872" width="27" style="127" customWidth="1"/>
    <col min="15873" max="16110" width="9.140625" style="127"/>
    <col min="16111" max="16111" width="14.140625" style="127" customWidth="1"/>
    <col min="16112" max="16112" width="57.28515625" style="127" customWidth="1"/>
    <col min="16113" max="16128" width="27" style="127" customWidth="1"/>
    <col min="16129" max="16384" width="9.140625" style="127"/>
  </cols>
  <sheetData>
    <row r="1" spans="1:5" ht="15.75" x14ac:dyDescent="0.25">
      <c r="A1" s="126"/>
      <c r="B1" s="126"/>
      <c r="C1" s="126"/>
      <c r="D1" s="126"/>
      <c r="E1" s="53" t="s">
        <v>66</v>
      </c>
    </row>
    <row r="2" spans="1:5" ht="59.25" customHeight="1" x14ac:dyDescent="0.25">
      <c r="A2" s="232" t="s">
        <v>187</v>
      </c>
      <c r="B2" s="232"/>
      <c r="C2" s="232"/>
      <c r="D2" s="232"/>
      <c r="E2" s="232"/>
    </row>
    <row r="3" spans="1:5" x14ac:dyDescent="0.25">
      <c r="A3" s="126"/>
      <c r="B3" s="126"/>
      <c r="C3" s="126"/>
      <c r="D3" s="126"/>
      <c r="E3" s="126"/>
    </row>
    <row r="4" spans="1:5" ht="39.75" customHeight="1" x14ac:dyDescent="0.25">
      <c r="A4" s="229" t="s">
        <v>20</v>
      </c>
      <c r="B4" s="229" t="s">
        <v>0</v>
      </c>
      <c r="C4" s="233" t="s">
        <v>182</v>
      </c>
      <c r="D4" s="233"/>
      <c r="E4" s="233"/>
    </row>
    <row r="5" spans="1:5" ht="18.75" x14ac:dyDescent="0.25">
      <c r="A5" s="229"/>
      <c r="B5" s="229"/>
      <c r="C5" s="128" t="s">
        <v>58</v>
      </c>
      <c r="D5" s="128" t="s">
        <v>59</v>
      </c>
      <c r="E5" s="128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132" customFormat="1" ht="18.75" x14ac:dyDescent="0.25">
      <c r="A7" s="129" t="s">
        <v>21</v>
      </c>
      <c r="B7" s="130" t="s">
        <v>1</v>
      </c>
      <c r="C7" s="131">
        <f>C8+C28</f>
        <v>0</v>
      </c>
      <c r="D7" s="131">
        <f>D8+D28</f>
        <v>0</v>
      </c>
      <c r="E7" s="131">
        <f>E8+E28</f>
        <v>0</v>
      </c>
    </row>
    <row r="8" spans="1:5" s="136" customFormat="1" ht="18.75" x14ac:dyDescent="0.25">
      <c r="A8" s="133" t="s">
        <v>91</v>
      </c>
      <c r="B8" s="134" t="s">
        <v>62</v>
      </c>
      <c r="C8" s="135">
        <f>C9+C11+C12+C13+C14+C15+C16+C17+C18+C19+C20+C21+C22+C23+C24+C25+C26+C27</f>
        <v>0</v>
      </c>
      <c r="D8" s="135">
        <f>D9+D11+D12+D13+D14+D15+D16+D17+D18+D19+D20+D21+D22+D23+D24+D25+D26+D27</f>
        <v>0</v>
      </c>
      <c r="E8" s="135">
        <f>E9+E11+E12+E13+E14+E15+E16+E17+E18+E19+E20+E21+E22+E23+E24+E25+E26+E27</f>
        <v>0</v>
      </c>
    </row>
    <row r="9" spans="1:5" ht="18.75" x14ac:dyDescent="0.25">
      <c r="A9" s="33" t="s">
        <v>22</v>
      </c>
      <c r="B9" s="137" t="s">
        <v>9</v>
      </c>
      <c r="C9" s="138"/>
      <c r="D9" s="139"/>
      <c r="E9" s="138"/>
    </row>
    <row r="10" spans="1:5" s="142" customFormat="1" ht="18.75" x14ac:dyDescent="0.25">
      <c r="A10" s="29" t="s">
        <v>23</v>
      </c>
      <c r="B10" s="140" t="s">
        <v>10</v>
      </c>
      <c r="C10" s="141"/>
      <c r="D10" s="141"/>
      <c r="E10" s="141"/>
    </row>
    <row r="11" spans="1:5" ht="18.75" x14ac:dyDescent="0.25">
      <c r="A11" s="28" t="s">
        <v>24</v>
      </c>
      <c r="B11" s="143" t="s">
        <v>11</v>
      </c>
      <c r="C11" s="144"/>
      <c r="D11" s="145"/>
      <c r="E11" s="144"/>
    </row>
    <row r="12" spans="1:5" ht="18.75" x14ac:dyDescent="0.25">
      <c r="A12" s="28" t="s">
        <v>25</v>
      </c>
      <c r="B12" s="143" t="s">
        <v>12</v>
      </c>
      <c r="C12" s="144"/>
      <c r="D12" s="145"/>
      <c r="E12" s="144"/>
    </row>
    <row r="13" spans="1:5" ht="18.75" x14ac:dyDescent="0.25">
      <c r="A13" s="28" t="s">
        <v>26</v>
      </c>
      <c r="B13" s="143" t="s">
        <v>162</v>
      </c>
      <c r="C13" s="144"/>
      <c r="D13" s="145"/>
      <c r="E13" s="144"/>
    </row>
    <row r="14" spans="1:5" ht="18.75" x14ac:dyDescent="0.25">
      <c r="A14" s="28" t="s">
        <v>27</v>
      </c>
      <c r="B14" s="143" t="s">
        <v>13</v>
      </c>
      <c r="C14" s="144"/>
      <c r="D14" s="145"/>
      <c r="E14" s="144"/>
    </row>
    <row r="15" spans="1:5" ht="18.75" x14ac:dyDescent="0.25">
      <c r="A15" s="28" t="s">
        <v>28</v>
      </c>
      <c r="B15" s="143" t="s">
        <v>14</v>
      </c>
      <c r="C15" s="144"/>
      <c r="D15" s="145"/>
      <c r="E15" s="144"/>
    </row>
    <row r="16" spans="1:5" ht="18.75" x14ac:dyDescent="0.25">
      <c r="A16" s="28" t="s">
        <v>29</v>
      </c>
      <c r="B16" s="143" t="s">
        <v>15</v>
      </c>
      <c r="C16" s="144"/>
      <c r="D16" s="145"/>
      <c r="E16" s="144"/>
    </row>
    <row r="17" spans="1:19" ht="18.75" x14ac:dyDescent="0.25">
      <c r="A17" s="28" t="s">
        <v>30</v>
      </c>
      <c r="B17" s="143" t="s">
        <v>16</v>
      </c>
      <c r="C17" s="144"/>
      <c r="D17" s="145"/>
      <c r="E17" s="144"/>
    </row>
    <row r="18" spans="1:19" ht="18.75" x14ac:dyDescent="0.25">
      <c r="A18" s="28" t="s">
        <v>31</v>
      </c>
      <c r="B18" s="143" t="s">
        <v>17</v>
      </c>
      <c r="C18" s="144"/>
      <c r="D18" s="144"/>
      <c r="E18" s="144"/>
    </row>
    <row r="19" spans="1:19" ht="18.75" x14ac:dyDescent="0.25">
      <c r="A19" s="28" t="s">
        <v>32</v>
      </c>
      <c r="B19" s="143" t="s">
        <v>18</v>
      </c>
      <c r="C19" s="144"/>
      <c r="D19" s="145"/>
      <c r="E19" s="144"/>
    </row>
    <row r="20" spans="1:19" ht="18.75" x14ac:dyDescent="0.25">
      <c r="A20" s="28" t="s">
        <v>33</v>
      </c>
      <c r="B20" s="143" t="s">
        <v>19</v>
      </c>
      <c r="C20" s="144"/>
      <c r="D20" s="145"/>
      <c r="E20" s="144"/>
    </row>
    <row r="21" spans="1:19" ht="18.75" x14ac:dyDescent="0.25">
      <c r="A21" s="28" t="s">
        <v>163</v>
      </c>
      <c r="B21" s="143" t="s">
        <v>164</v>
      </c>
      <c r="C21" s="144"/>
      <c r="D21" s="145"/>
      <c r="E21" s="144"/>
    </row>
    <row r="22" spans="1:19" ht="18.75" x14ac:dyDescent="0.25">
      <c r="A22" s="28" t="s">
        <v>165</v>
      </c>
      <c r="B22" s="143" t="s">
        <v>166</v>
      </c>
      <c r="C22" s="144"/>
      <c r="D22" s="145"/>
      <c r="E22" s="144"/>
    </row>
    <row r="23" spans="1:19" ht="18.75" x14ac:dyDescent="0.25">
      <c r="A23" s="28" t="s">
        <v>167</v>
      </c>
      <c r="B23" s="143" t="s">
        <v>168</v>
      </c>
      <c r="C23" s="144"/>
      <c r="D23" s="145"/>
      <c r="E23" s="144"/>
    </row>
    <row r="24" spans="1:19" ht="18.75" x14ac:dyDescent="0.25">
      <c r="A24" s="28" t="s">
        <v>169</v>
      </c>
      <c r="B24" s="143" t="s">
        <v>170</v>
      </c>
      <c r="C24" s="144"/>
      <c r="D24" s="145"/>
      <c r="E24" s="144"/>
    </row>
    <row r="25" spans="1:19" ht="18.75" x14ac:dyDescent="0.25">
      <c r="A25" s="28" t="s">
        <v>171</v>
      </c>
      <c r="B25" s="143" t="s">
        <v>172</v>
      </c>
      <c r="C25" s="144"/>
      <c r="D25" s="145"/>
      <c r="E25" s="144"/>
    </row>
    <row r="26" spans="1:19" ht="18.75" x14ac:dyDescent="0.25">
      <c r="A26" s="28" t="s">
        <v>173</v>
      </c>
      <c r="B26" s="143" t="s">
        <v>174</v>
      </c>
      <c r="C26" s="144"/>
      <c r="D26" s="145"/>
      <c r="E26" s="144"/>
    </row>
    <row r="27" spans="1:19" ht="18.75" x14ac:dyDescent="0.25">
      <c r="A27" s="28" t="s">
        <v>175</v>
      </c>
      <c r="B27" s="143" t="s">
        <v>176</v>
      </c>
      <c r="C27" s="144"/>
      <c r="D27" s="145"/>
      <c r="E27" s="144"/>
    </row>
    <row r="28" spans="1:19" s="136" customFormat="1" ht="18.75" x14ac:dyDescent="0.25">
      <c r="A28" s="133" t="s">
        <v>92</v>
      </c>
      <c r="B28" s="146" t="s">
        <v>157</v>
      </c>
      <c r="C28" s="135">
        <f>C30+C40</f>
        <v>0</v>
      </c>
      <c r="D28" s="135">
        <f>D30+D40</f>
        <v>0</v>
      </c>
      <c r="E28" s="135">
        <f>E30+E40</f>
        <v>0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</row>
    <row r="29" spans="1:19" ht="37.5" x14ac:dyDescent="0.25">
      <c r="A29" s="147" t="s">
        <v>34</v>
      </c>
      <c r="B29" s="148" t="s">
        <v>156</v>
      </c>
      <c r="C29" s="149">
        <f>C31+C32+C33+C34+C41+C42+C43</f>
        <v>0</v>
      </c>
      <c r="D29" s="149">
        <f>D31+D32+D33+D34+D41+D42+D43</f>
        <v>0</v>
      </c>
      <c r="E29" s="149">
        <f>E31+E32+E33+E34+E41+E42+E43</f>
        <v>0</v>
      </c>
    </row>
    <row r="30" spans="1:19" ht="18.75" x14ac:dyDescent="0.25">
      <c r="A30" s="150" t="s">
        <v>36</v>
      </c>
      <c r="B30" s="151" t="s">
        <v>55</v>
      </c>
      <c r="C30" s="152">
        <f>C31+C32+C33+C34+C35+C36+C37+C38+C39</f>
        <v>0</v>
      </c>
      <c r="D30" s="152">
        <f>D31+D32+D33+D34+D35+D36+D37+D38+D39</f>
        <v>0</v>
      </c>
      <c r="E30" s="152">
        <f>E31+E32+E33+E34+E35+E36+E37+E38+E39</f>
        <v>0</v>
      </c>
    </row>
    <row r="31" spans="1:19" ht="18.75" x14ac:dyDescent="0.25">
      <c r="A31" s="153" t="s">
        <v>50</v>
      </c>
      <c r="B31" s="154" t="s">
        <v>70</v>
      </c>
      <c r="C31" s="155"/>
      <c r="D31" s="155"/>
      <c r="E31" s="155"/>
      <c r="G31" s="156"/>
      <c r="H31" s="156"/>
      <c r="I31" s="156"/>
      <c r="J31" s="156"/>
      <c r="K31" s="156"/>
      <c r="L31" s="156"/>
    </row>
    <row r="32" spans="1:19" ht="18.75" x14ac:dyDescent="0.25">
      <c r="A32" s="153" t="s">
        <v>51</v>
      </c>
      <c r="B32" s="154" t="s">
        <v>71</v>
      </c>
      <c r="C32" s="155"/>
      <c r="D32" s="155"/>
      <c r="E32" s="155"/>
      <c r="G32" s="156"/>
      <c r="H32" s="156"/>
      <c r="I32" s="156"/>
      <c r="J32" s="156"/>
      <c r="K32" s="156"/>
      <c r="L32" s="156"/>
    </row>
    <row r="33" spans="1:22" ht="18.75" x14ac:dyDescent="0.25">
      <c r="A33" s="153" t="s">
        <v>52</v>
      </c>
      <c r="B33" s="154" t="s">
        <v>72</v>
      </c>
      <c r="C33" s="155"/>
      <c r="D33" s="155"/>
      <c r="E33" s="155"/>
      <c r="G33" s="156"/>
      <c r="H33" s="156"/>
      <c r="I33" s="156"/>
      <c r="J33" s="156"/>
      <c r="K33" s="156"/>
      <c r="L33" s="156"/>
    </row>
    <row r="34" spans="1:22" ht="18.75" x14ac:dyDescent="0.25">
      <c r="A34" s="153" t="s">
        <v>53</v>
      </c>
      <c r="B34" s="154" t="s">
        <v>73</v>
      </c>
      <c r="C34" s="155"/>
      <c r="D34" s="155"/>
      <c r="E34" s="155"/>
      <c r="G34" s="156"/>
      <c r="H34" s="156"/>
      <c r="I34" s="156"/>
      <c r="J34" s="156"/>
      <c r="K34" s="156"/>
      <c r="L34" s="156"/>
    </row>
    <row r="35" spans="1:22" s="159" customFormat="1" ht="18.75" x14ac:dyDescent="0.25">
      <c r="A35" s="153" t="s">
        <v>54</v>
      </c>
      <c r="B35" s="154" t="s">
        <v>96</v>
      </c>
      <c r="C35" s="157"/>
      <c r="D35" s="158"/>
      <c r="E35" s="157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</row>
    <row r="36" spans="1:22" s="159" customFormat="1" ht="18.75" x14ac:dyDescent="0.25">
      <c r="A36" s="153" t="s">
        <v>75</v>
      </c>
      <c r="B36" s="154" t="s">
        <v>63</v>
      </c>
      <c r="C36" s="157"/>
      <c r="D36" s="158"/>
      <c r="E36" s="157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</row>
    <row r="37" spans="1:22" s="159" customFormat="1" ht="37.5" x14ac:dyDescent="0.25">
      <c r="A37" s="153" t="s">
        <v>76</v>
      </c>
      <c r="B37" s="124" t="s">
        <v>158</v>
      </c>
      <c r="C37" s="157"/>
      <c r="D37" s="158"/>
      <c r="E37" s="157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</row>
    <row r="38" spans="1:22" s="159" customFormat="1" ht="18.75" x14ac:dyDescent="0.25">
      <c r="A38" s="153" t="s">
        <v>77</v>
      </c>
      <c r="B38" s="154" t="s">
        <v>60</v>
      </c>
      <c r="C38" s="157"/>
      <c r="D38" s="158"/>
      <c r="E38" s="157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</row>
    <row r="39" spans="1:22" s="159" customFormat="1" ht="18.75" x14ac:dyDescent="0.25">
      <c r="A39" s="153" t="s">
        <v>159</v>
      </c>
      <c r="B39" s="154" t="s">
        <v>35</v>
      </c>
      <c r="C39" s="157"/>
      <c r="D39" s="158"/>
      <c r="E39" s="157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</row>
    <row r="40" spans="1:22" ht="18.75" x14ac:dyDescent="0.25">
      <c r="A40" s="160" t="s">
        <v>41</v>
      </c>
      <c r="B40" s="161" t="s">
        <v>56</v>
      </c>
      <c r="C40" s="162">
        <f>SUM(C41:C43)</f>
        <v>0</v>
      </c>
      <c r="D40" s="162">
        <f>SUM(D41:D43)</f>
        <v>0</v>
      </c>
      <c r="E40" s="162">
        <f>SUM(E41:E43)</f>
        <v>0</v>
      </c>
    </row>
    <row r="41" spans="1:22" ht="18.75" x14ac:dyDescent="0.25">
      <c r="A41" s="163" t="s">
        <v>37</v>
      </c>
      <c r="B41" s="164" t="s">
        <v>2</v>
      </c>
      <c r="C41" s="165"/>
      <c r="D41" s="165"/>
      <c r="E41" s="165"/>
    </row>
    <row r="42" spans="1:22" ht="18.75" x14ac:dyDescent="0.25">
      <c r="A42" s="29" t="s">
        <v>38</v>
      </c>
      <c r="B42" s="166" t="s">
        <v>3</v>
      </c>
      <c r="C42" s="141"/>
      <c r="D42" s="167"/>
      <c r="E42" s="141"/>
    </row>
    <row r="43" spans="1:22" ht="18.75" x14ac:dyDescent="0.25">
      <c r="A43" s="29" t="s">
        <v>39</v>
      </c>
      <c r="B43" s="166" t="s">
        <v>40</v>
      </c>
      <c r="C43" s="141"/>
      <c r="D43" s="141"/>
      <c r="E43" s="141"/>
    </row>
    <row r="44" spans="1:22" s="132" customFormat="1" ht="18.75" x14ac:dyDescent="0.25">
      <c r="A44" s="129" t="s">
        <v>42</v>
      </c>
      <c r="B44" s="168" t="s">
        <v>4</v>
      </c>
      <c r="C44" s="131">
        <f>C45+C46</f>
        <v>11297136.029999999</v>
      </c>
      <c r="D44" s="131">
        <f>D45+D46</f>
        <v>9929166.1799999997</v>
      </c>
      <c r="E44" s="131">
        <f>E45+E46</f>
        <v>10065626.279999999</v>
      </c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</row>
    <row r="45" spans="1:22" ht="18.75" x14ac:dyDescent="0.25">
      <c r="A45" s="169" t="s">
        <v>43</v>
      </c>
      <c r="B45" s="170" t="s">
        <v>5</v>
      </c>
      <c r="C45" s="171">
        <v>11287136.029999999</v>
      </c>
      <c r="D45" s="172">
        <v>9919166.1799999997</v>
      </c>
      <c r="E45" s="171">
        <v>10055626.279999999</v>
      </c>
    </row>
    <row r="46" spans="1:22" ht="18.75" x14ac:dyDescent="0.25">
      <c r="A46" s="169" t="s">
        <v>44</v>
      </c>
      <c r="B46" s="170" t="s">
        <v>6</v>
      </c>
      <c r="C46" s="171">
        <v>10000</v>
      </c>
      <c r="D46" s="172">
        <v>10000</v>
      </c>
      <c r="E46" s="171">
        <v>10000</v>
      </c>
    </row>
    <row r="47" spans="1:22" s="132" customFormat="1" ht="18.75" x14ac:dyDescent="0.25">
      <c r="A47" s="173" t="s">
        <v>97</v>
      </c>
      <c r="B47" s="174" t="s">
        <v>98</v>
      </c>
      <c r="C47" s="175">
        <f>C48+C49+C50+C51+C52+C53+C54+C55+C56+C57+C58+C59+C60+C61</f>
        <v>11297136.029999999</v>
      </c>
      <c r="D47" s="175">
        <f>D48+D49+D50+D51+D52+D53+D54+D55+D56+D57+D58+D59+D60+D61+D62</f>
        <v>9929166.1799999997</v>
      </c>
      <c r="E47" s="175">
        <f>E48+E49+E50+E51+E52+E53+E54+E55+E56+E57+E58+E59+E60+E61+E62</f>
        <v>10065626.280000001</v>
      </c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</row>
    <row r="48" spans="1:22" ht="18.75" x14ac:dyDescent="0.25">
      <c r="A48" s="29" t="s">
        <v>99</v>
      </c>
      <c r="B48" s="176" t="s">
        <v>100</v>
      </c>
      <c r="C48" s="144">
        <v>4570223.99</v>
      </c>
      <c r="D48" s="144">
        <v>4800000</v>
      </c>
      <c r="E48" s="144">
        <v>4800000</v>
      </c>
    </row>
    <row r="49" spans="1:19" ht="18.75" x14ac:dyDescent="0.25">
      <c r="A49" s="29" t="s">
        <v>101</v>
      </c>
      <c r="B49" s="176" t="s">
        <v>102</v>
      </c>
      <c r="C49" s="144"/>
      <c r="D49" s="144"/>
      <c r="E49" s="144"/>
    </row>
    <row r="50" spans="1:19" ht="18.75" x14ac:dyDescent="0.25">
      <c r="A50" s="29" t="s">
        <v>103</v>
      </c>
      <c r="B50" s="176" t="s">
        <v>104</v>
      </c>
      <c r="C50" s="144">
        <v>280000</v>
      </c>
      <c r="D50" s="144">
        <v>280000</v>
      </c>
      <c r="E50" s="144">
        <v>280000</v>
      </c>
    </row>
    <row r="51" spans="1:19" ht="18.75" x14ac:dyDescent="0.25">
      <c r="A51" s="29" t="s">
        <v>105</v>
      </c>
      <c r="B51" s="176" t="s">
        <v>106</v>
      </c>
      <c r="C51" s="144">
        <v>1209440</v>
      </c>
      <c r="D51" s="145">
        <v>1184120</v>
      </c>
      <c r="E51" s="144">
        <v>1238100</v>
      </c>
    </row>
    <row r="52" spans="1:19" ht="18.75" x14ac:dyDescent="0.25">
      <c r="A52" s="29" t="s">
        <v>107</v>
      </c>
      <c r="B52" s="176" t="s">
        <v>109</v>
      </c>
      <c r="C52" s="144">
        <v>905000</v>
      </c>
      <c r="D52" s="144">
        <f>905000+500000</f>
        <v>1405000</v>
      </c>
      <c r="E52" s="144">
        <f>905000+500000</f>
        <v>1405000</v>
      </c>
    </row>
    <row r="53" spans="1:19" ht="18.75" x14ac:dyDescent="0.25">
      <c r="A53" s="29" t="s">
        <v>108</v>
      </c>
      <c r="B53" s="176" t="s">
        <v>111</v>
      </c>
      <c r="C53" s="144"/>
      <c r="D53" s="144"/>
      <c r="E53" s="144"/>
    </row>
    <row r="54" spans="1:19" ht="18.75" x14ac:dyDescent="0.25">
      <c r="A54" s="29" t="s">
        <v>110</v>
      </c>
      <c r="B54" s="176" t="s">
        <v>113</v>
      </c>
      <c r="C54" s="144">
        <v>254778.97</v>
      </c>
      <c r="D54" s="144"/>
      <c r="E54" s="144"/>
    </row>
    <row r="55" spans="1:19" ht="18.75" x14ac:dyDescent="0.25">
      <c r="A55" s="29" t="s">
        <v>112</v>
      </c>
      <c r="B55" s="176" t="s">
        <v>115</v>
      </c>
      <c r="C55" s="144">
        <f>2618493.07+1100000</f>
        <v>3718493.07</v>
      </c>
      <c r="D55" s="144">
        <f>1200000+451817.02</f>
        <v>1651817.02</v>
      </c>
      <c r="E55" s="144">
        <f>1200000+279294.96</f>
        <v>1479294.96</v>
      </c>
    </row>
    <row r="56" spans="1:19" ht="18.75" x14ac:dyDescent="0.25">
      <c r="A56" s="29" t="s">
        <v>114</v>
      </c>
      <c r="B56" s="176" t="s">
        <v>117</v>
      </c>
      <c r="C56" s="144"/>
      <c r="D56" s="144"/>
      <c r="E56" s="144"/>
    </row>
    <row r="57" spans="1:19" ht="18.75" x14ac:dyDescent="0.25">
      <c r="A57" s="29" t="s">
        <v>116</v>
      </c>
      <c r="B57" s="176" t="s">
        <v>119</v>
      </c>
      <c r="C57" s="144">
        <v>199200</v>
      </c>
      <c r="D57" s="144">
        <v>200000</v>
      </c>
      <c r="E57" s="144">
        <v>200000</v>
      </c>
    </row>
    <row r="58" spans="1:19" ht="18.75" x14ac:dyDescent="0.25">
      <c r="A58" s="29" t="s">
        <v>118</v>
      </c>
      <c r="B58" s="176" t="s">
        <v>121</v>
      </c>
      <c r="C58" s="144">
        <v>160000</v>
      </c>
      <c r="D58" s="144">
        <v>160000</v>
      </c>
      <c r="E58" s="144">
        <v>160000</v>
      </c>
    </row>
    <row r="59" spans="1:19" ht="18.75" x14ac:dyDescent="0.25">
      <c r="A59" s="29" t="s">
        <v>120</v>
      </c>
      <c r="B59" s="176" t="s">
        <v>123</v>
      </c>
      <c r="C59" s="144"/>
      <c r="D59" s="144"/>
      <c r="E59" s="144"/>
    </row>
    <row r="60" spans="1:19" ht="18.75" x14ac:dyDescent="0.25">
      <c r="A60" s="29" t="s">
        <v>122</v>
      </c>
      <c r="B60" s="176" t="s">
        <v>125</v>
      </c>
      <c r="C60" s="144"/>
      <c r="D60" s="144"/>
      <c r="E60" s="144"/>
    </row>
    <row r="61" spans="1:19" ht="37.5" x14ac:dyDescent="0.25">
      <c r="A61" s="29" t="s">
        <v>124</v>
      </c>
      <c r="B61" s="176" t="s">
        <v>127</v>
      </c>
      <c r="C61" s="144"/>
      <c r="D61" s="144"/>
      <c r="E61" s="144"/>
    </row>
    <row r="62" spans="1:19" ht="18.75" x14ac:dyDescent="0.25">
      <c r="A62" s="29" t="s">
        <v>126</v>
      </c>
      <c r="B62" s="176" t="s">
        <v>128</v>
      </c>
      <c r="C62" s="144" t="s">
        <v>61</v>
      </c>
      <c r="D62" s="144">
        <v>248229.16</v>
      </c>
      <c r="E62" s="144">
        <v>503231.32</v>
      </c>
    </row>
    <row r="63" spans="1:19" s="132" customFormat="1" ht="37.5" x14ac:dyDescent="0.25">
      <c r="A63" s="129" t="s">
        <v>45</v>
      </c>
      <c r="B63" s="177" t="s">
        <v>7</v>
      </c>
      <c r="C63" s="131">
        <f>C7-C44</f>
        <v>-11297136.029999999</v>
      </c>
      <c r="D63" s="131">
        <f>D7-D44</f>
        <v>-9929166.1799999997</v>
      </c>
      <c r="E63" s="131">
        <f>E7-E44</f>
        <v>-10065626.279999999</v>
      </c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</row>
    <row r="64" spans="1:19" ht="18.75" x14ac:dyDescent="0.25">
      <c r="A64" s="32" t="s">
        <v>46</v>
      </c>
      <c r="B64" s="81" t="s">
        <v>183</v>
      </c>
      <c r="C64" s="178"/>
      <c r="D64" s="179"/>
      <c r="E64" s="178"/>
    </row>
    <row r="65" spans="1:25" ht="18.75" x14ac:dyDescent="0.25">
      <c r="A65" s="29" t="s">
        <v>57</v>
      </c>
      <c r="B65" s="180" t="s">
        <v>80</v>
      </c>
      <c r="C65" s="178"/>
      <c r="D65" s="179"/>
      <c r="E65" s="178"/>
    </row>
    <row r="66" spans="1:25" ht="18.75" x14ac:dyDescent="0.25">
      <c r="A66" s="29" t="s">
        <v>82</v>
      </c>
      <c r="B66" s="180" t="s">
        <v>81</v>
      </c>
      <c r="C66" s="178"/>
      <c r="D66" s="179"/>
      <c r="E66" s="178"/>
    </row>
    <row r="67" spans="1:25" ht="19.5" x14ac:dyDescent="0.25">
      <c r="A67" s="15" t="s">
        <v>47</v>
      </c>
      <c r="B67" s="181" t="s">
        <v>87</v>
      </c>
      <c r="C67" s="141"/>
      <c r="D67" s="141"/>
      <c r="E67" s="141"/>
      <c r="F67" s="182"/>
      <c r="G67" s="183"/>
      <c r="H67" s="183"/>
      <c r="I67" s="183"/>
      <c r="J67" s="182"/>
      <c r="K67" s="183"/>
      <c r="L67" s="183"/>
      <c r="M67" s="182"/>
      <c r="N67" s="183"/>
      <c r="O67" s="183"/>
      <c r="P67" s="183"/>
      <c r="Q67" s="182"/>
      <c r="R67" s="183"/>
      <c r="S67" s="183"/>
      <c r="T67" s="183"/>
      <c r="U67" s="182"/>
      <c r="V67" s="183"/>
      <c r="W67" s="183"/>
      <c r="X67" s="183"/>
      <c r="Y67" s="184"/>
    </row>
    <row r="68" spans="1:25" ht="18.75" x14ac:dyDescent="0.25">
      <c r="A68" s="15" t="s">
        <v>86</v>
      </c>
      <c r="B68" s="185" t="s">
        <v>184</v>
      </c>
      <c r="C68" s="186" t="e">
        <f>(C64/(C8-C10))*100</f>
        <v>#DIV/0!</v>
      </c>
      <c r="D68" s="187" t="e">
        <f>(D64/(D8-D10))*100</f>
        <v>#DIV/0!</v>
      </c>
      <c r="E68" s="186" t="e">
        <f>(E64/(E8-E10))*100</f>
        <v>#DIV/0!</v>
      </c>
    </row>
    <row r="69" spans="1:25" ht="18.75" x14ac:dyDescent="0.25">
      <c r="A69" s="147" t="s">
        <v>83</v>
      </c>
      <c r="B69" s="188" t="s">
        <v>85</v>
      </c>
      <c r="C69" s="189" t="s">
        <v>61</v>
      </c>
      <c r="D69" s="189" t="s">
        <v>61</v>
      </c>
      <c r="E69" s="189" t="s">
        <v>61</v>
      </c>
    </row>
    <row r="70" spans="1:25" ht="19.5" x14ac:dyDescent="0.25">
      <c r="A70" s="190" t="s">
        <v>84</v>
      </c>
      <c r="B70" s="191" t="s">
        <v>68</v>
      </c>
      <c r="C70" s="192">
        <f>C71+C72+C73</f>
        <v>0</v>
      </c>
      <c r="D70" s="192">
        <f>D71+D72+D73</f>
        <v>0</v>
      </c>
      <c r="E70" s="192">
        <f>E71+E72+E73</f>
        <v>0</v>
      </c>
      <c r="F70" s="182"/>
      <c r="G70" s="183"/>
      <c r="H70" s="183"/>
      <c r="I70" s="183"/>
      <c r="J70" s="182"/>
      <c r="K70" s="183"/>
      <c r="L70" s="183"/>
      <c r="M70" s="182"/>
      <c r="N70" s="183"/>
      <c r="O70" s="183"/>
      <c r="P70" s="183"/>
      <c r="Q70" s="182"/>
      <c r="R70" s="183"/>
      <c r="S70" s="183"/>
      <c r="T70" s="183"/>
      <c r="U70" s="182"/>
      <c r="V70" s="183"/>
      <c r="W70" s="183"/>
      <c r="X70" s="183"/>
      <c r="Y70" s="184"/>
    </row>
    <row r="71" spans="1:25" ht="37.5" x14ac:dyDescent="0.25">
      <c r="A71" s="29" t="s">
        <v>88</v>
      </c>
      <c r="B71" s="193" t="s">
        <v>93</v>
      </c>
      <c r="C71" s="141"/>
      <c r="D71" s="141"/>
      <c r="E71" s="141"/>
    </row>
    <row r="72" spans="1:25" ht="56.25" x14ac:dyDescent="0.25">
      <c r="A72" s="29" t="s">
        <v>89</v>
      </c>
      <c r="B72" s="193" t="s">
        <v>74</v>
      </c>
      <c r="C72" s="141"/>
      <c r="D72" s="167"/>
      <c r="E72" s="141"/>
    </row>
    <row r="73" spans="1:25" ht="37.5" x14ac:dyDescent="0.25">
      <c r="A73" s="29" t="s">
        <v>90</v>
      </c>
      <c r="B73" s="194" t="s">
        <v>69</v>
      </c>
      <c r="C73" s="141"/>
      <c r="D73" s="141"/>
      <c r="E73" s="141"/>
      <c r="F73" s="182"/>
      <c r="G73" s="183"/>
      <c r="H73" s="183"/>
      <c r="I73" s="183"/>
      <c r="J73" s="182"/>
      <c r="K73" s="183"/>
      <c r="L73" s="183"/>
      <c r="M73" s="182"/>
      <c r="N73" s="183"/>
      <c r="O73" s="183"/>
      <c r="P73" s="183"/>
      <c r="Q73" s="182"/>
      <c r="R73" s="183"/>
      <c r="S73" s="183"/>
      <c r="T73" s="183"/>
      <c r="U73" s="182"/>
      <c r="V73" s="183"/>
      <c r="W73" s="183"/>
      <c r="X73" s="183"/>
      <c r="Y73" s="18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94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64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197" customFormat="1" x14ac:dyDescent="0.25">
      <c r="B90" s="195"/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196"/>
    </row>
    <row r="91" spans="2:15" s="197" customFormat="1" x14ac:dyDescent="0.25">
      <c r="B91" s="195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199" customFormat="1" hidden="1" x14ac:dyDescent="0.25">
      <c r="B93" s="198" t="s">
        <v>129</v>
      </c>
      <c r="C93" s="196">
        <f>C7-C8-C28</f>
        <v>0</v>
      </c>
      <c r="D93" s="196">
        <f>D7-D8-D28</f>
        <v>0</v>
      </c>
      <c r="E93" s="196">
        <f>E7-E8-E28</f>
        <v>0</v>
      </c>
      <c r="F93" s="196"/>
      <c r="G93" s="196"/>
      <c r="H93" s="196"/>
      <c r="I93" s="196"/>
      <c r="J93" s="196"/>
      <c r="K93" s="196"/>
      <c r="L93" s="196"/>
      <c r="M93" s="196"/>
      <c r="N93" s="196"/>
      <c r="O93" s="196"/>
    </row>
    <row r="94" spans="2:15" s="197" customFormat="1" hidden="1" x14ac:dyDescent="0.25">
      <c r="B94" s="195" t="s">
        <v>130</v>
      </c>
      <c r="C94" s="196">
        <f>C8-C9-C11-C12-C14-C15-C16-C17-C18-C19-C20-C21-C22-C23-C24-C25-C26-C27</f>
        <v>0</v>
      </c>
      <c r="D94" s="196">
        <f>D8-D9-D11-D12-D14-D15-D16-D17-D18-D19-D20-D21-D22-D23-D24-D25-D26-D27</f>
        <v>0</v>
      </c>
      <c r="E94" s="196">
        <f>E8-E9-E11-E12-E14-E15-E16-E17-E18-E19-E20-E21-E22-E23-E24-E25-E26-E27</f>
        <v>0</v>
      </c>
      <c r="F94" s="196"/>
      <c r="G94" s="196"/>
      <c r="H94" s="196"/>
      <c r="I94" s="196"/>
      <c r="J94" s="196"/>
      <c r="K94" s="196"/>
      <c r="L94" s="196"/>
      <c r="M94" s="196"/>
      <c r="N94" s="196"/>
      <c r="O94" s="196"/>
    </row>
    <row r="95" spans="2:15" s="197" customFormat="1" hidden="1" x14ac:dyDescent="0.25">
      <c r="B95" s="195" t="s">
        <v>131</v>
      </c>
      <c r="C95" s="196">
        <f>C28-C30-C40</f>
        <v>0</v>
      </c>
      <c r="D95" s="196">
        <f>D28-D30-D40</f>
        <v>0</v>
      </c>
      <c r="E95" s="196">
        <f>E28-E30-E40</f>
        <v>0</v>
      </c>
      <c r="F95" s="196"/>
      <c r="G95" s="196"/>
      <c r="H95" s="196"/>
      <c r="I95" s="196"/>
      <c r="J95" s="196"/>
      <c r="K95" s="196"/>
      <c r="L95" s="196"/>
      <c r="M95" s="196"/>
      <c r="N95" s="196"/>
      <c r="O95" s="196"/>
    </row>
    <row r="96" spans="2:15" s="199" customFormat="1" hidden="1" x14ac:dyDescent="0.25">
      <c r="B96" s="198" t="s">
        <v>132</v>
      </c>
      <c r="C96" s="196">
        <f>C30-C31-C32-C33-C34-C35-C36-C37-C38-C39</f>
        <v>0</v>
      </c>
      <c r="D96" s="196">
        <f>D30-D31-D32-D33-D34-D35-D36-D37-D38-D39</f>
        <v>0</v>
      </c>
      <c r="E96" s="196">
        <f>E30-E31-E32-E33-E34-E35-E36-E37-E38-E39</f>
        <v>0</v>
      </c>
      <c r="F96" s="196"/>
      <c r="G96" s="196"/>
      <c r="H96" s="196"/>
      <c r="I96" s="196"/>
      <c r="J96" s="196"/>
      <c r="K96" s="196"/>
      <c r="L96" s="196"/>
      <c r="M96" s="196"/>
      <c r="N96" s="196"/>
      <c r="O96" s="196"/>
    </row>
    <row r="97" spans="2:15" s="199" customFormat="1" hidden="1" x14ac:dyDescent="0.25">
      <c r="B97" s="198" t="s">
        <v>133</v>
      </c>
      <c r="C97" s="196">
        <f>C40-C41-C42-C43</f>
        <v>0</v>
      </c>
      <c r="D97" s="196">
        <f>D40-D41-D42-D43</f>
        <v>0</v>
      </c>
      <c r="E97" s="196">
        <f>E40-E41-E42-E43</f>
        <v>0</v>
      </c>
      <c r="F97" s="196"/>
      <c r="G97" s="196"/>
      <c r="H97" s="196"/>
      <c r="I97" s="196"/>
      <c r="J97" s="196"/>
      <c r="K97" s="196"/>
      <c r="L97" s="196"/>
      <c r="M97" s="196"/>
      <c r="N97" s="196"/>
      <c r="O97" s="196"/>
    </row>
    <row r="98" spans="2:15" s="197" customFormat="1" hidden="1" x14ac:dyDescent="0.25">
      <c r="B98" s="200"/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</row>
    <row r="99" spans="2:15" s="203" customFormat="1" ht="14.25" hidden="1" x14ac:dyDescent="0.2">
      <c r="B99" s="201" t="s">
        <v>160</v>
      </c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</row>
    <row r="100" spans="2:15" s="203" customFormat="1" ht="14.25" hidden="1" x14ac:dyDescent="0.2">
      <c r="B100" s="201" t="s">
        <v>134</v>
      </c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M100" s="202"/>
      <c r="N100" s="202"/>
      <c r="O100" s="202"/>
    </row>
    <row r="101" spans="2:15" s="203" customFormat="1" ht="14.25" hidden="1" x14ac:dyDescent="0.2">
      <c r="B101" s="201" t="s">
        <v>135</v>
      </c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</row>
    <row r="102" spans="2:15" s="203" customFormat="1" ht="14.25" hidden="1" x14ac:dyDescent="0.2">
      <c r="B102" s="201" t="s">
        <v>136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</row>
    <row r="103" spans="2:15" s="197" customFormat="1" hidden="1" x14ac:dyDescent="0.25">
      <c r="B103" s="195" t="s">
        <v>161</v>
      </c>
      <c r="C103" s="196">
        <f t="shared" ref="C103:E104" si="0">C31-C99</f>
        <v>0</v>
      </c>
      <c r="D103" s="196">
        <f t="shared" si="0"/>
        <v>0</v>
      </c>
      <c r="E103" s="196">
        <f t="shared" si="0"/>
        <v>0</v>
      </c>
      <c r="F103" s="196"/>
      <c r="G103" s="196"/>
      <c r="H103" s="196"/>
      <c r="I103" s="196"/>
      <c r="J103" s="196"/>
      <c r="K103" s="196"/>
      <c r="L103" s="196"/>
      <c r="M103" s="196"/>
      <c r="N103" s="196"/>
      <c r="O103" s="196"/>
    </row>
    <row r="104" spans="2:15" s="197" customFormat="1" hidden="1" x14ac:dyDescent="0.25">
      <c r="B104" s="195" t="s">
        <v>137</v>
      </c>
      <c r="C104" s="196">
        <f t="shared" si="0"/>
        <v>0</v>
      </c>
      <c r="D104" s="196">
        <f t="shared" si="0"/>
        <v>0</v>
      </c>
      <c r="E104" s="196">
        <f t="shared" si="0"/>
        <v>0</v>
      </c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</row>
    <row r="105" spans="2:15" s="197" customFormat="1" hidden="1" x14ac:dyDescent="0.25">
      <c r="B105" s="195" t="s">
        <v>138</v>
      </c>
      <c r="C105" s="196">
        <f t="shared" ref="C105:E106" si="1">C41-C101</f>
        <v>0</v>
      </c>
      <c r="D105" s="196">
        <f t="shared" si="1"/>
        <v>0</v>
      </c>
      <c r="E105" s="196">
        <f t="shared" si="1"/>
        <v>0</v>
      </c>
      <c r="F105" s="196"/>
      <c r="G105" s="196"/>
      <c r="H105" s="196"/>
      <c r="I105" s="196"/>
      <c r="J105" s="196"/>
      <c r="K105" s="196"/>
      <c r="L105" s="196"/>
      <c r="M105" s="196"/>
      <c r="N105" s="196"/>
      <c r="O105" s="196"/>
    </row>
    <row r="106" spans="2:15" s="199" customFormat="1" hidden="1" x14ac:dyDescent="0.25">
      <c r="B106" s="195" t="s">
        <v>139</v>
      </c>
      <c r="C106" s="196">
        <f t="shared" si="1"/>
        <v>0</v>
      </c>
      <c r="D106" s="196">
        <f t="shared" si="1"/>
        <v>0</v>
      </c>
      <c r="E106" s="196">
        <f t="shared" si="1"/>
        <v>0</v>
      </c>
      <c r="F106" s="196"/>
      <c r="G106" s="196"/>
      <c r="H106" s="196"/>
      <c r="I106" s="196"/>
      <c r="J106" s="196"/>
      <c r="K106" s="196"/>
      <c r="L106" s="196"/>
      <c r="M106" s="196"/>
      <c r="N106" s="196"/>
      <c r="O106" s="196"/>
    </row>
    <row r="107" spans="2:15" s="205" customFormat="1" hidden="1" x14ac:dyDescent="0.25">
      <c r="B107" s="200"/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</row>
    <row r="108" spans="2:15" s="208" customFormat="1" hidden="1" x14ac:dyDescent="0.25">
      <c r="B108" s="206" t="s">
        <v>140</v>
      </c>
      <c r="C108" s="207">
        <f>C29-C31-C32-C33-C34-C41-C42-C43</f>
        <v>0</v>
      </c>
      <c r="D108" s="207">
        <f>D29-D31-D32-D33-D34-D41-D42-D43</f>
        <v>0</v>
      </c>
      <c r="E108" s="207">
        <f>E29-E31-E32-E33-E34-E41-E42-E43</f>
        <v>0</v>
      </c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</row>
    <row r="109" spans="2:15" s="199" customFormat="1" ht="23.25" hidden="1" x14ac:dyDescent="0.25">
      <c r="B109" s="36" t="s">
        <v>8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</row>
    <row r="110" spans="2:15" s="199" customFormat="1" hidden="1" x14ac:dyDescent="0.25">
      <c r="B110" s="209" t="s">
        <v>141</v>
      </c>
      <c r="C110" s="200">
        <f>C44-C45-C46</f>
        <v>0</v>
      </c>
      <c r="D110" s="200">
        <f>D44-D45-D46</f>
        <v>0</v>
      </c>
      <c r="E110" s="200">
        <f>E44-E45-E46</f>
        <v>0</v>
      </c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</row>
    <row r="111" spans="2:15" s="199" customFormat="1" hidden="1" x14ac:dyDescent="0.25">
      <c r="B111" s="209" t="s">
        <v>142</v>
      </c>
      <c r="C111" s="200">
        <f>C47-C48-C49-C50-C51-C52-C53-C54-C55-C56-C57-C58-C59-C60-C61</f>
        <v>-9.3132257461547852E-10</v>
      </c>
      <c r="D111" s="200">
        <f>D47-D48-D49-D50-D51-D52-D53-D54-D55-D56-D57-D58-D59-D60-D61-D62</f>
        <v>-3.2014213502407074E-10</v>
      </c>
      <c r="E111" s="200">
        <f>E47-E48-E49-E50-E51-E52-E53-E54-E55-E56-E57-E58-E59-E60-E61-E62</f>
        <v>1.2223608791828156E-9</v>
      </c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</row>
    <row r="112" spans="2:15" s="199" customFormat="1" hidden="1" x14ac:dyDescent="0.25">
      <c r="B112" s="209" t="s">
        <v>143</v>
      </c>
      <c r="C112" s="200">
        <f>C44-C47</f>
        <v>0</v>
      </c>
      <c r="D112" s="200">
        <f>D44-D47</f>
        <v>0</v>
      </c>
      <c r="E112" s="200">
        <f>E44-E47</f>
        <v>0</v>
      </c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</row>
    <row r="113" spans="2:15" s="199" customFormat="1" hidden="1" x14ac:dyDescent="0.25">
      <c r="B113" s="210" t="s">
        <v>144</v>
      </c>
      <c r="C113" s="200">
        <f>C67-0</f>
        <v>0</v>
      </c>
      <c r="D113" s="200">
        <f>D67-0</f>
        <v>0</v>
      </c>
      <c r="E113" s="200">
        <f>E67-0</f>
        <v>0</v>
      </c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</row>
    <row r="114" spans="2:15" s="213" customFormat="1" hidden="1" x14ac:dyDescent="0.25">
      <c r="B114" s="211" t="s">
        <v>145</v>
      </c>
      <c r="C114" s="212"/>
      <c r="D114" s="212">
        <f>D62/(D44-D30)*100</f>
        <v>2.5000000553923654</v>
      </c>
      <c r="E114" s="212">
        <f>E62/(E44-E30)*100</f>
        <v>4.9995033195291656</v>
      </c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</row>
    <row r="115" spans="2:15" s="199" customFormat="1" ht="23.25" hidden="1" x14ac:dyDescent="0.25">
      <c r="B115" s="37" t="s">
        <v>49</v>
      </c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</row>
    <row r="116" spans="2:15" s="199" customFormat="1" hidden="1" x14ac:dyDescent="0.25">
      <c r="B116" s="110" t="s">
        <v>146</v>
      </c>
      <c r="C116" s="200">
        <f>C7-C44-C63</f>
        <v>0</v>
      </c>
      <c r="D116" s="200">
        <f>D7-D44-D63</f>
        <v>0</v>
      </c>
      <c r="E116" s="200">
        <f>E7-E44-E63</f>
        <v>0</v>
      </c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</row>
    <row r="117" spans="2:15" s="199" customFormat="1" ht="23.25" hidden="1" x14ac:dyDescent="0.25">
      <c r="B117" s="36" t="s">
        <v>147</v>
      </c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</row>
    <row r="118" spans="2:15" s="199" customFormat="1" hidden="1" x14ac:dyDescent="0.25">
      <c r="B118" s="198" t="s">
        <v>148</v>
      </c>
      <c r="C118" s="200">
        <f>C70-C71-C72-C73</f>
        <v>0</v>
      </c>
      <c r="D118" s="200">
        <f>D70-D71-D72-D73</f>
        <v>0</v>
      </c>
      <c r="E118" s="200">
        <f>E70-E71-E72-E73</f>
        <v>0</v>
      </c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</row>
    <row r="119" spans="2:15" s="215" customFormat="1" ht="14.25" hidden="1" x14ac:dyDescent="0.2">
      <c r="B119" s="201" t="s">
        <v>149</v>
      </c>
      <c r="C119" s="214"/>
      <c r="D119" s="214"/>
      <c r="E119" s="214"/>
      <c r="F119" s="214"/>
      <c r="G119" s="214"/>
      <c r="H119" s="214"/>
      <c r="I119" s="214"/>
      <c r="J119" s="214"/>
      <c r="K119" s="214"/>
      <c r="L119" s="214"/>
      <c r="M119" s="214"/>
      <c r="N119" s="214"/>
      <c r="O119" s="214"/>
    </row>
    <row r="120" spans="2:15" s="199" customFormat="1" hidden="1" x14ac:dyDescent="0.25">
      <c r="B120" s="216" t="s">
        <v>150</v>
      </c>
      <c r="C120" s="214">
        <f t="shared" ref="C120:E121" si="2">C72</f>
        <v>0</v>
      </c>
      <c r="D120" s="214">
        <f t="shared" si="2"/>
        <v>0</v>
      </c>
      <c r="E120" s="214">
        <f t="shared" si="2"/>
        <v>0</v>
      </c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</row>
    <row r="121" spans="2:15" s="199" customFormat="1" hidden="1" x14ac:dyDescent="0.25">
      <c r="B121" s="216" t="s">
        <v>151</v>
      </c>
      <c r="C121" s="214">
        <f t="shared" si="2"/>
        <v>0</v>
      </c>
      <c r="D121" s="214">
        <f t="shared" si="2"/>
        <v>0</v>
      </c>
      <c r="E121" s="214">
        <f t="shared" si="2"/>
        <v>0</v>
      </c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</row>
    <row r="122" spans="2:15" s="199" customFormat="1" hidden="1" x14ac:dyDescent="0.25">
      <c r="B122" s="198"/>
      <c r="C122" s="200"/>
      <c r="D122" s="200"/>
      <c r="E122" s="200"/>
      <c r="F122" s="214"/>
      <c r="G122" s="214"/>
      <c r="H122" s="214"/>
      <c r="I122" s="214"/>
      <c r="J122" s="214"/>
      <c r="K122" s="214"/>
      <c r="L122" s="214"/>
      <c r="M122" s="214"/>
      <c r="N122" s="214"/>
      <c r="O122" s="214"/>
    </row>
    <row r="123" spans="2:15" s="199" customFormat="1" hidden="1" x14ac:dyDescent="0.25">
      <c r="B123" s="198" t="s">
        <v>152</v>
      </c>
      <c r="C123" s="200">
        <f>C71-C119</f>
        <v>0</v>
      </c>
      <c r="D123" s="200">
        <f>D71-D119</f>
        <v>0</v>
      </c>
      <c r="E123" s="200">
        <f>E71-E119</f>
        <v>0</v>
      </c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</row>
    <row r="124" spans="2:15" s="199" customFormat="1" hidden="1" x14ac:dyDescent="0.25">
      <c r="B124" s="198" t="s">
        <v>153</v>
      </c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</row>
    <row r="125" spans="2:15" s="199" customFormat="1" hidden="1" x14ac:dyDescent="0.25">
      <c r="B125" s="198" t="s">
        <v>154</v>
      </c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</row>
    <row r="126" spans="2:15" ht="18.75" hidden="1" x14ac:dyDescent="0.3">
      <c r="B126" s="114" t="s">
        <v>155</v>
      </c>
      <c r="C126" s="115" t="s">
        <v>61</v>
      </c>
      <c r="D126" s="116" t="e">
        <f>D49/C49*100-100</f>
        <v>#DIV/0!</v>
      </c>
      <c r="E126" s="116" t="e">
        <f>E49/D49*100-100</f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zoomScale="60" zoomScaleNormal="60" workbookViewId="0">
      <selection activeCell="C9" sqref="C9:E26"/>
    </sheetView>
  </sheetViews>
  <sheetFormatPr defaultColWidth="9.140625" defaultRowHeight="15" x14ac:dyDescent="0.25"/>
  <cols>
    <col min="1" max="1" width="9.28515625" style="127" customWidth="1"/>
    <col min="2" max="2" width="90.5703125" style="127" customWidth="1"/>
    <col min="3" max="5" width="30.140625" style="127" customWidth="1"/>
    <col min="6" max="9" width="7.85546875" style="127" customWidth="1"/>
    <col min="10" max="238" width="9.140625" style="127"/>
    <col min="239" max="239" width="14.140625" style="127" customWidth="1"/>
    <col min="240" max="240" width="57.28515625" style="127" customWidth="1"/>
    <col min="241" max="256" width="27" style="127" customWidth="1"/>
    <col min="257" max="494" width="9.140625" style="127"/>
    <col min="495" max="495" width="14.140625" style="127" customWidth="1"/>
    <col min="496" max="496" width="57.28515625" style="127" customWidth="1"/>
    <col min="497" max="512" width="27" style="127" customWidth="1"/>
    <col min="513" max="750" width="9.140625" style="127"/>
    <col min="751" max="751" width="14.140625" style="127" customWidth="1"/>
    <col min="752" max="752" width="57.28515625" style="127" customWidth="1"/>
    <col min="753" max="768" width="27" style="127" customWidth="1"/>
    <col min="769" max="1006" width="9.140625" style="127"/>
    <col min="1007" max="1007" width="14.140625" style="127" customWidth="1"/>
    <col min="1008" max="1008" width="57.28515625" style="127" customWidth="1"/>
    <col min="1009" max="1024" width="27" style="127" customWidth="1"/>
    <col min="1025" max="1262" width="9.140625" style="127"/>
    <col min="1263" max="1263" width="14.140625" style="127" customWidth="1"/>
    <col min="1264" max="1264" width="57.28515625" style="127" customWidth="1"/>
    <col min="1265" max="1280" width="27" style="127" customWidth="1"/>
    <col min="1281" max="1518" width="9.140625" style="127"/>
    <col min="1519" max="1519" width="14.140625" style="127" customWidth="1"/>
    <col min="1520" max="1520" width="57.28515625" style="127" customWidth="1"/>
    <col min="1521" max="1536" width="27" style="127" customWidth="1"/>
    <col min="1537" max="1774" width="9.140625" style="127"/>
    <col min="1775" max="1775" width="14.140625" style="127" customWidth="1"/>
    <col min="1776" max="1776" width="57.28515625" style="127" customWidth="1"/>
    <col min="1777" max="1792" width="27" style="127" customWidth="1"/>
    <col min="1793" max="2030" width="9.140625" style="127"/>
    <col min="2031" max="2031" width="14.140625" style="127" customWidth="1"/>
    <col min="2032" max="2032" width="57.28515625" style="127" customWidth="1"/>
    <col min="2033" max="2048" width="27" style="127" customWidth="1"/>
    <col min="2049" max="2286" width="9.140625" style="127"/>
    <col min="2287" max="2287" width="14.140625" style="127" customWidth="1"/>
    <col min="2288" max="2288" width="57.28515625" style="127" customWidth="1"/>
    <col min="2289" max="2304" width="27" style="127" customWidth="1"/>
    <col min="2305" max="2542" width="9.140625" style="127"/>
    <col min="2543" max="2543" width="14.140625" style="127" customWidth="1"/>
    <col min="2544" max="2544" width="57.28515625" style="127" customWidth="1"/>
    <col min="2545" max="2560" width="27" style="127" customWidth="1"/>
    <col min="2561" max="2798" width="9.140625" style="127"/>
    <col min="2799" max="2799" width="14.140625" style="127" customWidth="1"/>
    <col min="2800" max="2800" width="57.28515625" style="127" customWidth="1"/>
    <col min="2801" max="2816" width="27" style="127" customWidth="1"/>
    <col min="2817" max="3054" width="9.140625" style="127"/>
    <col min="3055" max="3055" width="14.140625" style="127" customWidth="1"/>
    <col min="3056" max="3056" width="57.28515625" style="127" customWidth="1"/>
    <col min="3057" max="3072" width="27" style="127" customWidth="1"/>
    <col min="3073" max="3310" width="9.140625" style="127"/>
    <col min="3311" max="3311" width="14.140625" style="127" customWidth="1"/>
    <col min="3312" max="3312" width="57.28515625" style="127" customWidth="1"/>
    <col min="3313" max="3328" width="27" style="127" customWidth="1"/>
    <col min="3329" max="3566" width="9.140625" style="127"/>
    <col min="3567" max="3567" width="14.140625" style="127" customWidth="1"/>
    <col min="3568" max="3568" width="57.28515625" style="127" customWidth="1"/>
    <col min="3569" max="3584" width="27" style="127" customWidth="1"/>
    <col min="3585" max="3822" width="9.140625" style="127"/>
    <col min="3823" max="3823" width="14.140625" style="127" customWidth="1"/>
    <col min="3824" max="3824" width="57.28515625" style="127" customWidth="1"/>
    <col min="3825" max="3840" width="27" style="127" customWidth="1"/>
    <col min="3841" max="4078" width="9.140625" style="127"/>
    <col min="4079" max="4079" width="14.140625" style="127" customWidth="1"/>
    <col min="4080" max="4080" width="57.28515625" style="127" customWidth="1"/>
    <col min="4081" max="4096" width="27" style="127" customWidth="1"/>
    <col min="4097" max="4334" width="9.140625" style="127"/>
    <col min="4335" max="4335" width="14.140625" style="127" customWidth="1"/>
    <col min="4336" max="4336" width="57.28515625" style="127" customWidth="1"/>
    <col min="4337" max="4352" width="27" style="127" customWidth="1"/>
    <col min="4353" max="4590" width="9.140625" style="127"/>
    <col min="4591" max="4591" width="14.140625" style="127" customWidth="1"/>
    <col min="4592" max="4592" width="57.28515625" style="127" customWidth="1"/>
    <col min="4593" max="4608" width="27" style="127" customWidth="1"/>
    <col min="4609" max="4846" width="9.140625" style="127"/>
    <col min="4847" max="4847" width="14.140625" style="127" customWidth="1"/>
    <col min="4848" max="4848" width="57.28515625" style="127" customWidth="1"/>
    <col min="4849" max="4864" width="27" style="127" customWidth="1"/>
    <col min="4865" max="5102" width="9.140625" style="127"/>
    <col min="5103" max="5103" width="14.140625" style="127" customWidth="1"/>
    <col min="5104" max="5104" width="57.28515625" style="127" customWidth="1"/>
    <col min="5105" max="5120" width="27" style="127" customWidth="1"/>
    <col min="5121" max="5358" width="9.140625" style="127"/>
    <col min="5359" max="5359" width="14.140625" style="127" customWidth="1"/>
    <col min="5360" max="5360" width="57.28515625" style="127" customWidth="1"/>
    <col min="5361" max="5376" width="27" style="127" customWidth="1"/>
    <col min="5377" max="5614" width="9.140625" style="127"/>
    <col min="5615" max="5615" width="14.140625" style="127" customWidth="1"/>
    <col min="5616" max="5616" width="57.28515625" style="127" customWidth="1"/>
    <col min="5617" max="5632" width="27" style="127" customWidth="1"/>
    <col min="5633" max="5870" width="9.140625" style="127"/>
    <col min="5871" max="5871" width="14.140625" style="127" customWidth="1"/>
    <col min="5872" max="5872" width="57.28515625" style="127" customWidth="1"/>
    <col min="5873" max="5888" width="27" style="127" customWidth="1"/>
    <col min="5889" max="6126" width="9.140625" style="127"/>
    <col min="6127" max="6127" width="14.140625" style="127" customWidth="1"/>
    <col min="6128" max="6128" width="57.28515625" style="127" customWidth="1"/>
    <col min="6129" max="6144" width="27" style="127" customWidth="1"/>
    <col min="6145" max="6382" width="9.140625" style="127"/>
    <col min="6383" max="6383" width="14.140625" style="127" customWidth="1"/>
    <col min="6384" max="6384" width="57.28515625" style="127" customWidth="1"/>
    <col min="6385" max="6400" width="27" style="127" customWidth="1"/>
    <col min="6401" max="6638" width="9.140625" style="127"/>
    <col min="6639" max="6639" width="14.140625" style="127" customWidth="1"/>
    <col min="6640" max="6640" width="57.28515625" style="127" customWidth="1"/>
    <col min="6641" max="6656" width="27" style="127" customWidth="1"/>
    <col min="6657" max="6894" width="9.140625" style="127"/>
    <col min="6895" max="6895" width="14.140625" style="127" customWidth="1"/>
    <col min="6896" max="6896" width="57.28515625" style="127" customWidth="1"/>
    <col min="6897" max="6912" width="27" style="127" customWidth="1"/>
    <col min="6913" max="7150" width="9.140625" style="127"/>
    <col min="7151" max="7151" width="14.140625" style="127" customWidth="1"/>
    <col min="7152" max="7152" width="57.28515625" style="127" customWidth="1"/>
    <col min="7153" max="7168" width="27" style="127" customWidth="1"/>
    <col min="7169" max="7406" width="9.140625" style="127"/>
    <col min="7407" max="7407" width="14.140625" style="127" customWidth="1"/>
    <col min="7408" max="7408" width="57.28515625" style="127" customWidth="1"/>
    <col min="7409" max="7424" width="27" style="127" customWidth="1"/>
    <col min="7425" max="7662" width="9.140625" style="127"/>
    <col min="7663" max="7663" width="14.140625" style="127" customWidth="1"/>
    <col min="7664" max="7664" width="57.28515625" style="127" customWidth="1"/>
    <col min="7665" max="7680" width="27" style="127" customWidth="1"/>
    <col min="7681" max="7918" width="9.140625" style="127"/>
    <col min="7919" max="7919" width="14.140625" style="127" customWidth="1"/>
    <col min="7920" max="7920" width="57.28515625" style="127" customWidth="1"/>
    <col min="7921" max="7936" width="27" style="127" customWidth="1"/>
    <col min="7937" max="8174" width="9.140625" style="127"/>
    <col min="8175" max="8175" width="14.140625" style="127" customWidth="1"/>
    <col min="8176" max="8176" width="57.28515625" style="127" customWidth="1"/>
    <col min="8177" max="8192" width="27" style="127" customWidth="1"/>
    <col min="8193" max="8430" width="9.140625" style="127"/>
    <col min="8431" max="8431" width="14.140625" style="127" customWidth="1"/>
    <col min="8432" max="8432" width="57.28515625" style="127" customWidth="1"/>
    <col min="8433" max="8448" width="27" style="127" customWidth="1"/>
    <col min="8449" max="8686" width="9.140625" style="127"/>
    <col min="8687" max="8687" width="14.140625" style="127" customWidth="1"/>
    <col min="8688" max="8688" width="57.28515625" style="127" customWidth="1"/>
    <col min="8689" max="8704" width="27" style="127" customWidth="1"/>
    <col min="8705" max="8942" width="9.140625" style="127"/>
    <col min="8943" max="8943" width="14.140625" style="127" customWidth="1"/>
    <col min="8944" max="8944" width="57.28515625" style="127" customWidth="1"/>
    <col min="8945" max="8960" width="27" style="127" customWidth="1"/>
    <col min="8961" max="9198" width="9.140625" style="127"/>
    <col min="9199" max="9199" width="14.140625" style="127" customWidth="1"/>
    <col min="9200" max="9200" width="57.28515625" style="127" customWidth="1"/>
    <col min="9201" max="9216" width="27" style="127" customWidth="1"/>
    <col min="9217" max="9454" width="9.140625" style="127"/>
    <col min="9455" max="9455" width="14.140625" style="127" customWidth="1"/>
    <col min="9456" max="9456" width="57.28515625" style="127" customWidth="1"/>
    <col min="9457" max="9472" width="27" style="127" customWidth="1"/>
    <col min="9473" max="9710" width="9.140625" style="127"/>
    <col min="9711" max="9711" width="14.140625" style="127" customWidth="1"/>
    <col min="9712" max="9712" width="57.28515625" style="127" customWidth="1"/>
    <col min="9713" max="9728" width="27" style="127" customWidth="1"/>
    <col min="9729" max="9966" width="9.140625" style="127"/>
    <col min="9967" max="9967" width="14.140625" style="127" customWidth="1"/>
    <col min="9968" max="9968" width="57.28515625" style="127" customWidth="1"/>
    <col min="9969" max="9984" width="27" style="127" customWidth="1"/>
    <col min="9985" max="10222" width="9.140625" style="127"/>
    <col min="10223" max="10223" width="14.140625" style="127" customWidth="1"/>
    <col min="10224" max="10224" width="57.28515625" style="127" customWidth="1"/>
    <col min="10225" max="10240" width="27" style="127" customWidth="1"/>
    <col min="10241" max="10478" width="9.140625" style="127"/>
    <col min="10479" max="10479" width="14.140625" style="127" customWidth="1"/>
    <col min="10480" max="10480" width="57.28515625" style="127" customWidth="1"/>
    <col min="10481" max="10496" width="27" style="127" customWidth="1"/>
    <col min="10497" max="10734" width="9.140625" style="127"/>
    <col min="10735" max="10735" width="14.140625" style="127" customWidth="1"/>
    <col min="10736" max="10736" width="57.28515625" style="127" customWidth="1"/>
    <col min="10737" max="10752" width="27" style="127" customWidth="1"/>
    <col min="10753" max="10990" width="9.140625" style="127"/>
    <col min="10991" max="10991" width="14.140625" style="127" customWidth="1"/>
    <col min="10992" max="10992" width="57.28515625" style="127" customWidth="1"/>
    <col min="10993" max="11008" width="27" style="127" customWidth="1"/>
    <col min="11009" max="11246" width="9.140625" style="127"/>
    <col min="11247" max="11247" width="14.140625" style="127" customWidth="1"/>
    <col min="11248" max="11248" width="57.28515625" style="127" customWidth="1"/>
    <col min="11249" max="11264" width="27" style="127" customWidth="1"/>
    <col min="11265" max="11502" width="9.140625" style="127"/>
    <col min="11503" max="11503" width="14.140625" style="127" customWidth="1"/>
    <col min="11504" max="11504" width="57.28515625" style="127" customWidth="1"/>
    <col min="11505" max="11520" width="27" style="127" customWidth="1"/>
    <col min="11521" max="11758" width="9.140625" style="127"/>
    <col min="11759" max="11759" width="14.140625" style="127" customWidth="1"/>
    <col min="11760" max="11760" width="57.28515625" style="127" customWidth="1"/>
    <col min="11761" max="11776" width="27" style="127" customWidth="1"/>
    <col min="11777" max="12014" width="9.140625" style="127"/>
    <col min="12015" max="12015" width="14.140625" style="127" customWidth="1"/>
    <col min="12016" max="12016" width="57.28515625" style="127" customWidth="1"/>
    <col min="12017" max="12032" width="27" style="127" customWidth="1"/>
    <col min="12033" max="12270" width="9.140625" style="127"/>
    <col min="12271" max="12271" width="14.140625" style="127" customWidth="1"/>
    <col min="12272" max="12272" width="57.28515625" style="127" customWidth="1"/>
    <col min="12273" max="12288" width="27" style="127" customWidth="1"/>
    <col min="12289" max="12526" width="9.140625" style="127"/>
    <col min="12527" max="12527" width="14.140625" style="127" customWidth="1"/>
    <col min="12528" max="12528" width="57.28515625" style="127" customWidth="1"/>
    <col min="12529" max="12544" width="27" style="127" customWidth="1"/>
    <col min="12545" max="12782" width="9.140625" style="127"/>
    <col min="12783" max="12783" width="14.140625" style="127" customWidth="1"/>
    <col min="12784" max="12784" width="57.28515625" style="127" customWidth="1"/>
    <col min="12785" max="12800" width="27" style="127" customWidth="1"/>
    <col min="12801" max="13038" width="9.140625" style="127"/>
    <col min="13039" max="13039" width="14.140625" style="127" customWidth="1"/>
    <col min="13040" max="13040" width="57.28515625" style="127" customWidth="1"/>
    <col min="13041" max="13056" width="27" style="127" customWidth="1"/>
    <col min="13057" max="13294" width="9.140625" style="127"/>
    <col min="13295" max="13295" width="14.140625" style="127" customWidth="1"/>
    <col min="13296" max="13296" width="57.28515625" style="127" customWidth="1"/>
    <col min="13297" max="13312" width="27" style="127" customWidth="1"/>
    <col min="13313" max="13550" width="9.140625" style="127"/>
    <col min="13551" max="13551" width="14.140625" style="127" customWidth="1"/>
    <col min="13552" max="13552" width="57.28515625" style="127" customWidth="1"/>
    <col min="13553" max="13568" width="27" style="127" customWidth="1"/>
    <col min="13569" max="13806" width="9.140625" style="127"/>
    <col min="13807" max="13807" width="14.140625" style="127" customWidth="1"/>
    <col min="13808" max="13808" width="57.28515625" style="127" customWidth="1"/>
    <col min="13809" max="13824" width="27" style="127" customWidth="1"/>
    <col min="13825" max="14062" width="9.140625" style="127"/>
    <col min="14063" max="14063" width="14.140625" style="127" customWidth="1"/>
    <col min="14064" max="14064" width="57.28515625" style="127" customWidth="1"/>
    <col min="14065" max="14080" width="27" style="127" customWidth="1"/>
    <col min="14081" max="14318" width="9.140625" style="127"/>
    <col min="14319" max="14319" width="14.140625" style="127" customWidth="1"/>
    <col min="14320" max="14320" width="57.28515625" style="127" customWidth="1"/>
    <col min="14321" max="14336" width="27" style="127" customWidth="1"/>
    <col min="14337" max="14574" width="9.140625" style="127"/>
    <col min="14575" max="14575" width="14.140625" style="127" customWidth="1"/>
    <col min="14576" max="14576" width="57.28515625" style="127" customWidth="1"/>
    <col min="14577" max="14592" width="27" style="127" customWidth="1"/>
    <col min="14593" max="14830" width="9.140625" style="127"/>
    <col min="14831" max="14831" width="14.140625" style="127" customWidth="1"/>
    <col min="14832" max="14832" width="57.28515625" style="127" customWidth="1"/>
    <col min="14833" max="14848" width="27" style="127" customWidth="1"/>
    <col min="14849" max="15086" width="9.140625" style="127"/>
    <col min="15087" max="15087" width="14.140625" style="127" customWidth="1"/>
    <col min="15088" max="15088" width="57.28515625" style="127" customWidth="1"/>
    <col min="15089" max="15104" width="27" style="127" customWidth="1"/>
    <col min="15105" max="15342" width="9.140625" style="127"/>
    <col min="15343" max="15343" width="14.140625" style="127" customWidth="1"/>
    <col min="15344" max="15344" width="57.28515625" style="127" customWidth="1"/>
    <col min="15345" max="15360" width="27" style="127" customWidth="1"/>
    <col min="15361" max="15598" width="9.140625" style="127"/>
    <col min="15599" max="15599" width="14.140625" style="127" customWidth="1"/>
    <col min="15600" max="15600" width="57.28515625" style="127" customWidth="1"/>
    <col min="15601" max="15616" width="27" style="127" customWidth="1"/>
    <col min="15617" max="15854" width="9.140625" style="127"/>
    <col min="15855" max="15855" width="14.140625" style="127" customWidth="1"/>
    <col min="15856" max="15856" width="57.28515625" style="127" customWidth="1"/>
    <col min="15857" max="15872" width="27" style="127" customWidth="1"/>
    <col min="15873" max="16110" width="9.140625" style="127"/>
    <col min="16111" max="16111" width="14.140625" style="127" customWidth="1"/>
    <col min="16112" max="16112" width="57.28515625" style="127" customWidth="1"/>
    <col min="16113" max="16128" width="27" style="127" customWidth="1"/>
    <col min="16129" max="16384" width="9.140625" style="127"/>
  </cols>
  <sheetData>
    <row r="1" spans="1:5" ht="15.75" x14ac:dyDescent="0.25">
      <c r="A1" s="126"/>
      <c r="B1" s="126"/>
      <c r="C1" s="126"/>
      <c r="D1" s="126"/>
      <c r="E1" s="53" t="s">
        <v>66</v>
      </c>
    </row>
    <row r="2" spans="1:5" ht="59.25" customHeight="1" x14ac:dyDescent="0.25">
      <c r="A2" s="232" t="s">
        <v>181</v>
      </c>
      <c r="B2" s="232"/>
      <c r="C2" s="232"/>
      <c r="D2" s="232"/>
      <c r="E2" s="232"/>
    </row>
    <row r="3" spans="1:5" x14ac:dyDescent="0.25">
      <c r="A3" s="126"/>
      <c r="B3" s="126"/>
      <c r="C3" s="126"/>
      <c r="D3" s="126"/>
      <c r="E3" s="126"/>
    </row>
    <row r="4" spans="1:5" ht="39.75" customHeight="1" x14ac:dyDescent="0.25">
      <c r="A4" s="229" t="s">
        <v>20</v>
      </c>
      <c r="B4" s="229" t="s">
        <v>0</v>
      </c>
      <c r="C4" s="233" t="s">
        <v>182</v>
      </c>
      <c r="D4" s="233"/>
      <c r="E4" s="233"/>
    </row>
    <row r="5" spans="1:5" ht="18.75" x14ac:dyDescent="0.25">
      <c r="A5" s="229"/>
      <c r="B5" s="229"/>
      <c r="C5" s="128" t="s">
        <v>58</v>
      </c>
      <c r="D5" s="128" t="s">
        <v>59</v>
      </c>
      <c r="E5" s="128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132" customFormat="1" ht="18.75" x14ac:dyDescent="0.25">
      <c r="A7" s="129" t="s">
        <v>21</v>
      </c>
      <c r="B7" s="130" t="s">
        <v>1</v>
      </c>
      <c r="C7" s="131">
        <f>C8+C28</f>
        <v>0</v>
      </c>
      <c r="D7" s="131">
        <f>D8+D28</f>
        <v>0</v>
      </c>
      <c r="E7" s="131">
        <f>E8+E28</f>
        <v>0</v>
      </c>
    </row>
    <row r="8" spans="1:5" s="136" customFormat="1" ht="18.75" x14ac:dyDescent="0.25">
      <c r="A8" s="133" t="s">
        <v>91</v>
      </c>
      <c r="B8" s="134" t="s">
        <v>62</v>
      </c>
      <c r="C8" s="135">
        <f>C9+C11+C12+C13+C14+C15+C16+C17+C18+C19+C20+C21+C22+C23+C24+C25+C26+C27</f>
        <v>0</v>
      </c>
      <c r="D8" s="135">
        <f>D9+D11+D12+D13+D14+D15+D16+D17+D18+D19+D20+D21+D22+D23+D24+D25+D26+D27</f>
        <v>0</v>
      </c>
      <c r="E8" s="135">
        <f>E9+E11+E12+E13+E14+E15+E16+E17+E18+E19+E20+E21+E22+E23+E24+E25+E26+E27</f>
        <v>0</v>
      </c>
    </row>
    <row r="9" spans="1:5" ht="18.75" x14ac:dyDescent="0.25">
      <c r="A9" s="33" t="s">
        <v>22</v>
      </c>
      <c r="B9" s="137" t="s">
        <v>9</v>
      </c>
      <c r="C9" s="138"/>
      <c r="D9" s="139"/>
      <c r="E9" s="138"/>
    </row>
    <row r="10" spans="1:5" s="142" customFormat="1" ht="18.75" x14ac:dyDescent="0.25">
      <c r="A10" s="29" t="s">
        <v>23</v>
      </c>
      <c r="B10" s="140" t="s">
        <v>10</v>
      </c>
      <c r="C10" s="141"/>
      <c r="D10" s="141"/>
      <c r="E10" s="141"/>
    </row>
    <row r="11" spans="1:5" ht="18.75" x14ac:dyDescent="0.25">
      <c r="A11" s="28" t="s">
        <v>24</v>
      </c>
      <c r="B11" s="143" t="s">
        <v>11</v>
      </c>
      <c r="C11" s="144"/>
      <c r="D11" s="145"/>
      <c r="E11" s="144"/>
    </row>
    <row r="12" spans="1:5" ht="18.75" x14ac:dyDescent="0.25">
      <c r="A12" s="28" t="s">
        <v>25</v>
      </c>
      <c r="B12" s="143" t="s">
        <v>12</v>
      </c>
      <c r="C12" s="144"/>
      <c r="D12" s="145"/>
      <c r="E12" s="144"/>
    </row>
    <row r="13" spans="1:5" ht="18.75" x14ac:dyDescent="0.25">
      <c r="A13" s="28" t="s">
        <v>26</v>
      </c>
      <c r="B13" s="143" t="s">
        <v>162</v>
      </c>
      <c r="C13" s="144"/>
      <c r="D13" s="145"/>
      <c r="E13" s="144"/>
    </row>
    <row r="14" spans="1:5" ht="18.75" x14ac:dyDescent="0.25">
      <c r="A14" s="28" t="s">
        <v>27</v>
      </c>
      <c r="B14" s="143" t="s">
        <v>13</v>
      </c>
      <c r="C14" s="144"/>
      <c r="D14" s="145"/>
      <c r="E14" s="144"/>
    </row>
    <row r="15" spans="1:5" ht="18.75" x14ac:dyDescent="0.25">
      <c r="A15" s="28" t="s">
        <v>28</v>
      </c>
      <c r="B15" s="143" t="s">
        <v>14</v>
      </c>
      <c r="C15" s="144"/>
      <c r="D15" s="145"/>
      <c r="E15" s="144"/>
    </row>
    <row r="16" spans="1:5" ht="18.75" x14ac:dyDescent="0.25">
      <c r="A16" s="28" t="s">
        <v>29</v>
      </c>
      <c r="B16" s="143" t="s">
        <v>15</v>
      </c>
      <c r="C16" s="144"/>
      <c r="D16" s="145"/>
      <c r="E16" s="144"/>
    </row>
    <row r="17" spans="1:19" ht="18.75" x14ac:dyDescent="0.25">
      <c r="A17" s="28" t="s">
        <v>30</v>
      </c>
      <c r="B17" s="143" t="s">
        <v>16</v>
      </c>
      <c r="C17" s="144"/>
      <c r="D17" s="145"/>
      <c r="E17" s="144"/>
    </row>
    <row r="18" spans="1:19" ht="18.75" x14ac:dyDescent="0.25">
      <c r="A18" s="28" t="s">
        <v>31</v>
      </c>
      <c r="B18" s="143" t="s">
        <v>17</v>
      </c>
      <c r="C18" s="144"/>
      <c r="D18" s="145"/>
      <c r="E18" s="144"/>
    </row>
    <row r="19" spans="1:19" ht="18.75" x14ac:dyDescent="0.25">
      <c r="A19" s="28" t="s">
        <v>32</v>
      </c>
      <c r="B19" s="143" t="s">
        <v>18</v>
      </c>
      <c r="C19" s="144"/>
      <c r="D19" s="145"/>
      <c r="E19" s="144"/>
    </row>
    <row r="20" spans="1:19" ht="18.75" x14ac:dyDescent="0.25">
      <c r="A20" s="28" t="s">
        <v>33</v>
      </c>
      <c r="B20" s="143" t="s">
        <v>19</v>
      </c>
      <c r="C20" s="144"/>
      <c r="D20" s="145"/>
      <c r="E20" s="144"/>
    </row>
    <row r="21" spans="1:19" ht="18.75" x14ac:dyDescent="0.25">
      <c r="A21" s="28" t="s">
        <v>163</v>
      </c>
      <c r="B21" s="143" t="s">
        <v>164</v>
      </c>
      <c r="C21" s="144"/>
      <c r="D21" s="145"/>
      <c r="E21" s="144"/>
    </row>
    <row r="22" spans="1:19" ht="18.75" x14ac:dyDescent="0.25">
      <c r="A22" s="28" t="s">
        <v>165</v>
      </c>
      <c r="B22" s="143" t="s">
        <v>166</v>
      </c>
      <c r="C22" s="144"/>
      <c r="D22" s="145"/>
      <c r="E22" s="144"/>
    </row>
    <row r="23" spans="1:19" ht="18.75" x14ac:dyDescent="0.25">
      <c r="A23" s="28" t="s">
        <v>167</v>
      </c>
      <c r="B23" s="143" t="s">
        <v>168</v>
      </c>
      <c r="C23" s="144"/>
      <c r="D23" s="145"/>
      <c r="E23" s="144"/>
    </row>
    <row r="24" spans="1:19" ht="18.75" x14ac:dyDescent="0.25">
      <c r="A24" s="28" t="s">
        <v>169</v>
      </c>
      <c r="B24" s="143" t="s">
        <v>170</v>
      </c>
      <c r="C24" s="144"/>
      <c r="D24" s="145"/>
      <c r="E24" s="144"/>
    </row>
    <row r="25" spans="1:19" ht="18.75" x14ac:dyDescent="0.25">
      <c r="A25" s="28" t="s">
        <v>171</v>
      </c>
      <c r="B25" s="143" t="s">
        <v>172</v>
      </c>
      <c r="C25" s="144"/>
      <c r="D25" s="145"/>
      <c r="E25" s="144"/>
    </row>
    <row r="26" spans="1:19" ht="18.75" x14ac:dyDescent="0.25">
      <c r="A26" s="28" t="s">
        <v>173</v>
      </c>
      <c r="B26" s="143" t="s">
        <v>174</v>
      </c>
      <c r="C26" s="144"/>
      <c r="D26" s="145"/>
      <c r="E26" s="144"/>
    </row>
    <row r="27" spans="1:19" ht="18.75" x14ac:dyDescent="0.25">
      <c r="A27" s="28" t="s">
        <v>175</v>
      </c>
      <c r="B27" s="143" t="s">
        <v>176</v>
      </c>
      <c r="C27" s="144"/>
      <c r="D27" s="145"/>
      <c r="E27" s="144"/>
    </row>
    <row r="28" spans="1:19" s="136" customFormat="1" ht="18.75" x14ac:dyDescent="0.25">
      <c r="A28" s="133" t="s">
        <v>92</v>
      </c>
      <c r="B28" s="146" t="s">
        <v>157</v>
      </c>
      <c r="C28" s="135">
        <f>C30+C40</f>
        <v>0</v>
      </c>
      <c r="D28" s="135">
        <f>D30+D40</f>
        <v>0</v>
      </c>
      <c r="E28" s="135">
        <f>E30+E40</f>
        <v>0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</row>
    <row r="29" spans="1:19" ht="37.5" x14ac:dyDescent="0.25">
      <c r="A29" s="147" t="s">
        <v>34</v>
      </c>
      <c r="B29" s="148" t="s">
        <v>156</v>
      </c>
      <c r="C29" s="149">
        <f>C31+C32+C33+C34+C41+C42+C43</f>
        <v>0</v>
      </c>
      <c r="D29" s="149">
        <f>D31+D32+D33+D34+D41+D42+D43</f>
        <v>0</v>
      </c>
      <c r="E29" s="149">
        <f>E31+E32+E33+E34+E41+E42+E43</f>
        <v>0</v>
      </c>
    </row>
    <row r="30" spans="1:19" ht="18.75" x14ac:dyDescent="0.25">
      <c r="A30" s="150" t="s">
        <v>36</v>
      </c>
      <c r="B30" s="151" t="s">
        <v>55</v>
      </c>
      <c r="C30" s="152">
        <f>C31+C32+C33+C34+C35+C36+C37+C38+C39</f>
        <v>0</v>
      </c>
      <c r="D30" s="152">
        <f>D31+D32+D33+D34+D35+D36+D37+D38+D39</f>
        <v>0</v>
      </c>
      <c r="E30" s="152">
        <f>E31+E32+E33+E34+E35+E36+E37+E38+E39</f>
        <v>0</v>
      </c>
    </row>
    <row r="31" spans="1:19" ht="18.75" x14ac:dyDescent="0.25">
      <c r="A31" s="153" t="s">
        <v>50</v>
      </c>
      <c r="B31" s="154" t="s">
        <v>70</v>
      </c>
      <c r="C31" s="155"/>
      <c r="D31" s="155"/>
      <c r="E31" s="155"/>
      <c r="G31" s="156"/>
      <c r="H31" s="156"/>
      <c r="I31" s="156"/>
      <c r="J31" s="156"/>
      <c r="K31" s="156"/>
      <c r="L31" s="156"/>
    </row>
    <row r="32" spans="1:19" ht="18.75" x14ac:dyDescent="0.25">
      <c r="A32" s="153" t="s">
        <v>51</v>
      </c>
      <c r="B32" s="154" t="s">
        <v>71</v>
      </c>
      <c r="C32" s="155"/>
      <c r="D32" s="155"/>
      <c r="E32" s="155"/>
      <c r="G32" s="156"/>
      <c r="H32" s="156"/>
      <c r="I32" s="156"/>
      <c r="J32" s="156"/>
      <c r="K32" s="156"/>
      <c r="L32" s="156"/>
    </row>
    <row r="33" spans="1:22" ht="18.75" x14ac:dyDescent="0.25">
      <c r="A33" s="153" t="s">
        <v>52</v>
      </c>
      <c r="B33" s="154" t="s">
        <v>72</v>
      </c>
      <c r="C33" s="155"/>
      <c r="D33" s="155"/>
      <c r="E33" s="155"/>
      <c r="G33" s="156"/>
      <c r="H33" s="156"/>
      <c r="I33" s="156"/>
      <c r="J33" s="156"/>
      <c r="K33" s="156"/>
      <c r="L33" s="156"/>
    </row>
    <row r="34" spans="1:22" ht="18.75" x14ac:dyDescent="0.25">
      <c r="A34" s="153" t="s">
        <v>53</v>
      </c>
      <c r="B34" s="154" t="s">
        <v>73</v>
      </c>
      <c r="C34" s="155"/>
      <c r="D34" s="155"/>
      <c r="E34" s="155"/>
      <c r="G34" s="156"/>
      <c r="H34" s="156"/>
      <c r="I34" s="156"/>
      <c r="J34" s="156"/>
      <c r="K34" s="156"/>
      <c r="L34" s="156"/>
    </row>
    <row r="35" spans="1:22" s="159" customFormat="1" ht="18.75" x14ac:dyDescent="0.25">
      <c r="A35" s="153" t="s">
        <v>54</v>
      </c>
      <c r="B35" s="154" t="s">
        <v>96</v>
      </c>
      <c r="C35" s="157"/>
      <c r="D35" s="158"/>
      <c r="E35" s="157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</row>
    <row r="36" spans="1:22" s="159" customFormat="1" ht="18.75" x14ac:dyDescent="0.25">
      <c r="A36" s="153" t="s">
        <v>75</v>
      </c>
      <c r="B36" s="154" t="s">
        <v>63</v>
      </c>
      <c r="C36" s="157"/>
      <c r="D36" s="158"/>
      <c r="E36" s="157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</row>
    <row r="37" spans="1:22" s="159" customFormat="1" ht="37.5" x14ac:dyDescent="0.25">
      <c r="A37" s="153" t="s">
        <v>76</v>
      </c>
      <c r="B37" s="124" t="s">
        <v>158</v>
      </c>
      <c r="C37" s="157"/>
      <c r="D37" s="158"/>
      <c r="E37" s="157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</row>
    <row r="38" spans="1:22" s="159" customFormat="1" ht="18.75" x14ac:dyDescent="0.25">
      <c r="A38" s="153" t="s">
        <v>77</v>
      </c>
      <c r="B38" s="154" t="s">
        <v>60</v>
      </c>
      <c r="C38" s="157"/>
      <c r="D38" s="158"/>
      <c r="E38" s="157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</row>
    <row r="39" spans="1:22" s="159" customFormat="1" ht="18.75" x14ac:dyDescent="0.25">
      <c r="A39" s="153" t="s">
        <v>159</v>
      </c>
      <c r="B39" s="154" t="s">
        <v>35</v>
      </c>
      <c r="C39" s="157"/>
      <c r="D39" s="158"/>
      <c r="E39" s="157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</row>
    <row r="40" spans="1:22" ht="18.75" x14ac:dyDescent="0.25">
      <c r="A40" s="160" t="s">
        <v>41</v>
      </c>
      <c r="B40" s="161" t="s">
        <v>56</v>
      </c>
      <c r="C40" s="162">
        <f>SUM(C41:C43)</f>
        <v>0</v>
      </c>
      <c r="D40" s="162">
        <f>SUM(D41:D43)</f>
        <v>0</v>
      </c>
      <c r="E40" s="162">
        <f>SUM(E41:E43)</f>
        <v>0</v>
      </c>
    </row>
    <row r="41" spans="1:22" ht="18.75" x14ac:dyDescent="0.25">
      <c r="A41" s="163" t="s">
        <v>37</v>
      </c>
      <c r="B41" s="164" t="s">
        <v>2</v>
      </c>
      <c r="C41" s="165"/>
      <c r="D41" s="165"/>
      <c r="E41" s="165"/>
    </row>
    <row r="42" spans="1:22" ht="18.75" x14ac:dyDescent="0.25">
      <c r="A42" s="29" t="s">
        <v>38</v>
      </c>
      <c r="B42" s="166" t="s">
        <v>3</v>
      </c>
      <c r="C42" s="141"/>
      <c r="D42" s="167"/>
      <c r="E42" s="141"/>
    </row>
    <row r="43" spans="1:22" ht="18.75" x14ac:dyDescent="0.25">
      <c r="A43" s="29" t="s">
        <v>39</v>
      </c>
      <c r="B43" s="166" t="s">
        <v>40</v>
      </c>
      <c r="C43" s="141"/>
      <c r="D43" s="141"/>
      <c r="E43" s="141"/>
    </row>
    <row r="44" spans="1:22" s="132" customFormat="1" ht="18.75" x14ac:dyDescent="0.25">
      <c r="A44" s="129" t="s">
        <v>42</v>
      </c>
      <c r="B44" s="168" t="s">
        <v>4</v>
      </c>
      <c r="C44" s="131">
        <f>C45+C46</f>
        <v>4451285.8600000003</v>
      </c>
      <c r="D44" s="131">
        <f>D45+D46</f>
        <v>4084015.31</v>
      </c>
      <c r="E44" s="131">
        <f>E45+E46</f>
        <v>4156803.94</v>
      </c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</row>
    <row r="45" spans="1:22" ht="18.75" x14ac:dyDescent="0.25">
      <c r="A45" s="169" t="s">
        <v>43</v>
      </c>
      <c r="B45" s="170" t="s">
        <v>5</v>
      </c>
      <c r="C45" s="171">
        <v>4449285.8600000003</v>
      </c>
      <c r="D45" s="172">
        <f>4082015.31</f>
        <v>4082015.31</v>
      </c>
      <c r="E45" s="171">
        <v>4154803.94</v>
      </c>
    </row>
    <row r="46" spans="1:22" ht="18.75" x14ac:dyDescent="0.25">
      <c r="A46" s="169" t="s">
        <v>44</v>
      </c>
      <c r="B46" s="170" t="s">
        <v>6</v>
      </c>
      <c r="C46" s="171">
        <v>2000</v>
      </c>
      <c r="D46" s="172">
        <v>2000</v>
      </c>
      <c r="E46" s="171">
        <v>2000</v>
      </c>
    </row>
    <row r="47" spans="1:22" s="132" customFormat="1" ht="18.75" x14ac:dyDescent="0.25">
      <c r="A47" s="173" t="s">
        <v>97</v>
      </c>
      <c r="B47" s="174" t="s">
        <v>98</v>
      </c>
      <c r="C47" s="175">
        <f>C48+C49+C50+C51+C52+C53+C54+C55+C56+C57+C58+C59+C60+C61</f>
        <v>4451285.8600000003</v>
      </c>
      <c r="D47" s="175">
        <f>D48+D49+D50+D51+D52+D53+D54+D55+D56+D57+D58+D59+D60+D61+D62</f>
        <v>4084015.31</v>
      </c>
      <c r="E47" s="175">
        <f>E48+E49+E50+E51+E52+E53+E54+E55+E56+E57+E58+E59+E60+E61+E62</f>
        <v>4156803.94</v>
      </c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</row>
    <row r="48" spans="1:22" ht="18.75" x14ac:dyDescent="0.25">
      <c r="A48" s="29" t="s">
        <v>99</v>
      </c>
      <c r="B48" s="176" t="s">
        <v>100</v>
      </c>
      <c r="C48" s="144">
        <v>1516000</v>
      </c>
      <c r="D48" s="144">
        <v>1516000</v>
      </c>
      <c r="E48" s="144">
        <v>1516000</v>
      </c>
    </row>
    <row r="49" spans="1:19" ht="18.75" x14ac:dyDescent="0.25">
      <c r="A49" s="29" t="s">
        <v>101</v>
      </c>
      <c r="B49" s="176" t="s">
        <v>102</v>
      </c>
      <c r="C49" s="144"/>
      <c r="D49" s="144"/>
      <c r="E49" s="144"/>
    </row>
    <row r="50" spans="1:19" ht="18.75" x14ac:dyDescent="0.25">
      <c r="A50" s="29" t="s">
        <v>103</v>
      </c>
      <c r="B50" s="176" t="s">
        <v>104</v>
      </c>
      <c r="C50" s="144">
        <v>2000</v>
      </c>
      <c r="D50" s="144">
        <v>2000</v>
      </c>
      <c r="E50" s="144">
        <v>2000</v>
      </c>
    </row>
    <row r="51" spans="1:19" ht="18.75" x14ac:dyDescent="0.25">
      <c r="A51" s="29" t="s">
        <v>105</v>
      </c>
      <c r="B51" s="176" t="s">
        <v>106</v>
      </c>
      <c r="C51" s="144">
        <v>942320</v>
      </c>
      <c r="D51" s="145">
        <v>922600</v>
      </c>
      <c r="E51" s="144">
        <v>964650</v>
      </c>
    </row>
    <row r="52" spans="1:19" ht="18.75" x14ac:dyDescent="0.25">
      <c r="A52" s="29" t="s">
        <v>107</v>
      </c>
      <c r="B52" s="176" t="s">
        <v>109</v>
      </c>
      <c r="C52" s="144">
        <v>100000</v>
      </c>
      <c r="D52" s="144">
        <v>100000</v>
      </c>
      <c r="E52" s="144">
        <v>100000</v>
      </c>
    </row>
    <row r="53" spans="1:19" ht="18.75" x14ac:dyDescent="0.25">
      <c r="A53" s="29" t="s">
        <v>108</v>
      </c>
      <c r="B53" s="176" t="s">
        <v>111</v>
      </c>
      <c r="C53" s="144"/>
      <c r="D53" s="144"/>
      <c r="E53" s="144"/>
    </row>
    <row r="54" spans="1:19" ht="18.75" x14ac:dyDescent="0.25">
      <c r="A54" s="29" t="s">
        <v>110</v>
      </c>
      <c r="B54" s="176" t="s">
        <v>113</v>
      </c>
      <c r="C54" s="144">
        <v>254778.97</v>
      </c>
      <c r="D54" s="144"/>
      <c r="E54" s="144"/>
    </row>
    <row r="55" spans="1:19" ht="18.75" x14ac:dyDescent="0.25">
      <c r="A55" s="29" t="s">
        <v>112</v>
      </c>
      <c r="B55" s="176" t="s">
        <v>115</v>
      </c>
      <c r="C55" s="144">
        <f>1460691.9+175494.99</f>
        <v>1636186.89</v>
      </c>
      <c r="D55" s="144">
        <f>1300000+243415.31-102100.39</f>
        <v>1441314.9200000002</v>
      </c>
      <c r="E55" s="144">
        <f>1300000+274153.94-207840.21</f>
        <v>1366313.73</v>
      </c>
    </row>
    <row r="56" spans="1:19" ht="18.75" x14ac:dyDescent="0.25">
      <c r="A56" s="29" t="s">
        <v>114</v>
      </c>
      <c r="B56" s="176" t="s">
        <v>117</v>
      </c>
      <c r="C56" s="144"/>
      <c r="D56" s="144"/>
      <c r="E56" s="144"/>
    </row>
    <row r="57" spans="1:19" ht="18.75" x14ac:dyDescent="0.25">
      <c r="A57" s="29" t="s">
        <v>116</v>
      </c>
      <c r="B57" s="176" t="s">
        <v>119</v>
      </c>
      <c r="C57" s="144"/>
      <c r="D57" s="144"/>
      <c r="E57" s="144"/>
    </row>
    <row r="58" spans="1:19" ht="18.75" x14ac:dyDescent="0.25">
      <c r="A58" s="29" t="s">
        <v>118</v>
      </c>
      <c r="B58" s="176" t="s">
        <v>121</v>
      </c>
      <c r="C58" s="144"/>
      <c r="D58" s="144"/>
      <c r="E58" s="144"/>
    </row>
    <row r="59" spans="1:19" ht="18.75" x14ac:dyDescent="0.25">
      <c r="A59" s="29" t="s">
        <v>120</v>
      </c>
      <c r="B59" s="176" t="s">
        <v>123</v>
      </c>
      <c r="C59" s="144"/>
      <c r="D59" s="144"/>
      <c r="E59" s="144"/>
    </row>
    <row r="60" spans="1:19" ht="18.75" x14ac:dyDescent="0.25">
      <c r="A60" s="29" t="s">
        <v>122</v>
      </c>
      <c r="B60" s="176" t="s">
        <v>125</v>
      </c>
      <c r="C60" s="144"/>
      <c r="D60" s="144"/>
      <c r="E60" s="144"/>
    </row>
    <row r="61" spans="1:19" ht="37.5" x14ac:dyDescent="0.25">
      <c r="A61" s="29" t="s">
        <v>124</v>
      </c>
      <c r="B61" s="176" t="s">
        <v>127</v>
      </c>
      <c r="C61" s="144"/>
      <c r="D61" s="144"/>
      <c r="E61" s="144"/>
    </row>
    <row r="62" spans="1:19" ht="18.75" x14ac:dyDescent="0.25">
      <c r="A62" s="29" t="s">
        <v>126</v>
      </c>
      <c r="B62" s="176" t="s">
        <v>128</v>
      </c>
      <c r="C62" s="144" t="s">
        <v>61</v>
      </c>
      <c r="D62" s="144">
        <v>102100.39</v>
      </c>
      <c r="E62" s="144">
        <v>207840.21</v>
      </c>
    </row>
    <row r="63" spans="1:19" s="132" customFormat="1" ht="37.5" x14ac:dyDescent="0.25">
      <c r="A63" s="129" t="s">
        <v>45</v>
      </c>
      <c r="B63" s="177" t="s">
        <v>7</v>
      </c>
      <c r="C63" s="131">
        <f>C7-C44</f>
        <v>-4451285.8600000003</v>
      </c>
      <c r="D63" s="131">
        <f>D7-D44</f>
        <v>-4084015.31</v>
      </c>
      <c r="E63" s="131">
        <f>E7-E44</f>
        <v>-4156803.94</v>
      </c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</row>
    <row r="64" spans="1:19" ht="18.75" x14ac:dyDescent="0.25">
      <c r="A64" s="32" t="s">
        <v>46</v>
      </c>
      <c r="B64" s="81" t="s">
        <v>183</v>
      </c>
      <c r="C64" s="178"/>
      <c r="D64" s="179"/>
      <c r="E64" s="178"/>
    </row>
    <row r="65" spans="1:25" ht="18.75" x14ac:dyDescent="0.25">
      <c r="A65" s="29" t="s">
        <v>57</v>
      </c>
      <c r="B65" s="180" t="s">
        <v>80</v>
      </c>
      <c r="C65" s="178"/>
      <c r="D65" s="179"/>
      <c r="E65" s="178"/>
    </row>
    <row r="66" spans="1:25" ht="18.75" x14ac:dyDescent="0.25">
      <c r="A66" s="29" t="s">
        <v>82</v>
      </c>
      <c r="B66" s="180" t="s">
        <v>81</v>
      </c>
      <c r="C66" s="178"/>
      <c r="D66" s="179"/>
      <c r="E66" s="178"/>
    </row>
    <row r="67" spans="1:25" ht="19.5" x14ac:dyDescent="0.25">
      <c r="A67" s="15" t="s">
        <v>47</v>
      </c>
      <c r="B67" s="181" t="s">
        <v>87</v>
      </c>
      <c r="C67" s="141"/>
      <c r="D67" s="141"/>
      <c r="E67" s="141"/>
      <c r="F67" s="182"/>
      <c r="G67" s="183"/>
      <c r="H67" s="183"/>
      <c r="I67" s="183"/>
      <c r="J67" s="182"/>
      <c r="K67" s="183"/>
      <c r="L67" s="183"/>
      <c r="M67" s="182"/>
      <c r="N67" s="183"/>
      <c r="O67" s="183"/>
      <c r="P67" s="183"/>
      <c r="Q67" s="182"/>
      <c r="R67" s="183"/>
      <c r="S67" s="183"/>
      <c r="T67" s="183"/>
      <c r="U67" s="182"/>
      <c r="V67" s="183"/>
      <c r="W67" s="183"/>
      <c r="X67" s="183"/>
      <c r="Y67" s="184"/>
    </row>
    <row r="68" spans="1:25" ht="18.75" x14ac:dyDescent="0.25">
      <c r="A68" s="15" t="s">
        <v>86</v>
      </c>
      <c r="B68" s="185" t="s">
        <v>184</v>
      </c>
      <c r="C68" s="186" t="e">
        <f>(C64/(C8-C10))*100</f>
        <v>#DIV/0!</v>
      </c>
      <c r="D68" s="187" t="e">
        <f>(D64/(D8-D10))*100</f>
        <v>#DIV/0!</v>
      </c>
      <c r="E68" s="186" t="e">
        <f>(E64/(E8-E10))*100</f>
        <v>#DIV/0!</v>
      </c>
    </row>
    <row r="69" spans="1:25" ht="18.75" x14ac:dyDescent="0.25">
      <c r="A69" s="147" t="s">
        <v>83</v>
      </c>
      <c r="B69" s="188" t="s">
        <v>85</v>
      </c>
      <c r="C69" s="189" t="s">
        <v>61</v>
      </c>
      <c r="D69" s="189" t="s">
        <v>61</v>
      </c>
      <c r="E69" s="189" t="s">
        <v>61</v>
      </c>
    </row>
    <row r="70" spans="1:25" ht="19.5" x14ac:dyDescent="0.25">
      <c r="A70" s="190" t="s">
        <v>84</v>
      </c>
      <c r="B70" s="191" t="s">
        <v>68</v>
      </c>
      <c r="C70" s="192">
        <f>C71+C72+C73</f>
        <v>0</v>
      </c>
      <c r="D70" s="192">
        <f>D71+D72+D73</f>
        <v>0</v>
      </c>
      <c r="E70" s="192">
        <f>E71+E72+E73</f>
        <v>0</v>
      </c>
      <c r="F70" s="182"/>
      <c r="G70" s="183"/>
      <c r="H70" s="183"/>
      <c r="I70" s="183"/>
      <c r="J70" s="182"/>
      <c r="K70" s="183"/>
      <c r="L70" s="183"/>
      <c r="M70" s="182"/>
      <c r="N70" s="183"/>
      <c r="O70" s="183"/>
      <c r="P70" s="183"/>
      <c r="Q70" s="182"/>
      <c r="R70" s="183"/>
      <c r="S70" s="183"/>
      <c r="T70" s="183"/>
      <c r="U70" s="182"/>
      <c r="V70" s="183"/>
      <c r="W70" s="183"/>
      <c r="X70" s="183"/>
      <c r="Y70" s="184"/>
    </row>
    <row r="71" spans="1:25" ht="37.5" x14ac:dyDescent="0.25">
      <c r="A71" s="29" t="s">
        <v>88</v>
      </c>
      <c r="B71" s="193" t="s">
        <v>93</v>
      </c>
      <c r="C71" s="141"/>
      <c r="D71" s="141"/>
      <c r="E71" s="141"/>
    </row>
    <row r="72" spans="1:25" ht="56.25" x14ac:dyDescent="0.25">
      <c r="A72" s="29" t="s">
        <v>89</v>
      </c>
      <c r="B72" s="193" t="s">
        <v>74</v>
      </c>
      <c r="C72" s="141"/>
      <c r="D72" s="167"/>
      <c r="E72" s="141"/>
    </row>
    <row r="73" spans="1:25" ht="37.5" x14ac:dyDescent="0.25">
      <c r="A73" s="29" t="s">
        <v>90</v>
      </c>
      <c r="B73" s="194" t="s">
        <v>69</v>
      </c>
      <c r="C73" s="141"/>
      <c r="D73" s="141"/>
      <c r="E73" s="141"/>
      <c r="F73" s="182"/>
      <c r="G73" s="183"/>
      <c r="H73" s="183"/>
      <c r="I73" s="183"/>
      <c r="J73" s="182"/>
      <c r="K73" s="183"/>
      <c r="L73" s="183"/>
      <c r="M73" s="182"/>
      <c r="N73" s="183"/>
      <c r="O73" s="183"/>
      <c r="P73" s="183"/>
      <c r="Q73" s="182"/>
      <c r="R73" s="183"/>
      <c r="S73" s="183"/>
      <c r="T73" s="183"/>
      <c r="U73" s="182"/>
      <c r="V73" s="183"/>
      <c r="W73" s="183"/>
      <c r="X73" s="183"/>
      <c r="Y73" s="18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94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64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197" customFormat="1" x14ac:dyDescent="0.25">
      <c r="B90" s="195"/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196"/>
    </row>
    <row r="91" spans="2:15" s="197" customFormat="1" x14ac:dyDescent="0.25">
      <c r="B91" s="195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199" customFormat="1" hidden="1" x14ac:dyDescent="0.25">
      <c r="B93" s="198" t="s">
        <v>129</v>
      </c>
      <c r="C93" s="196">
        <f>C7-C8-C28</f>
        <v>0</v>
      </c>
      <c r="D93" s="196">
        <f>D7-D8-D28</f>
        <v>0</v>
      </c>
      <c r="E93" s="196">
        <f>E7-E8-E28</f>
        <v>0</v>
      </c>
      <c r="F93" s="196"/>
      <c r="G93" s="196"/>
      <c r="H93" s="196"/>
      <c r="I93" s="196"/>
      <c r="J93" s="196"/>
      <c r="K93" s="196"/>
      <c r="L93" s="196"/>
      <c r="M93" s="196"/>
      <c r="N93" s="196"/>
      <c r="O93" s="196"/>
    </row>
    <row r="94" spans="2:15" s="197" customFormat="1" hidden="1" x14ac:dyDescent="0.25">
      <c r="B94" s="195" t="s">
        <v>130</v>
      </c>
      <c r="C94" s="196">
        <f>C8-C9-C11-C12-C14-C15-C16-C17-C18-C19-C20-C21-C22-C23-C24-C25-C26-C27</f>
        <v>0</v>
      </c>
      <c r="D94" s="196">
        <f>D8-D9-D11-D12-D14-D15-D16-D17-D18-D19-D20-D21-D22-D23-D24-D25-D26-D27</f>
        <v>0</v>
      </c>
      <c r="E94" s="196">
        <f>E8-E9-E11-E12-E14-E15-E16-E17-E18-E19-E20-E21-E22-E23-E24-E25-E26-E27</f>
        <v>0</v>
      </c>
      <c r="F94" s="196"/>
      <c r="G94" s="196"/>
      <c r="H94" s="196"/>
      <c r="I94" s="196"/>
      <c r="J94" s="196"/>
      <c r="K94" s="196"/>
      <c r="L94" s="196"/>
      <c r="M94" s="196"/>
      <c r="N94" s="196"/>
      <c r="O94" s="196"/>
    </row>
    <row r="95" spans="2:15" s="197" customFormat="1" hidden="1" x14ac:dyDescent="0.25">
      <c r="B95" s="195" t="s">
        <v>131</v>
      </c>
      <c r="C95" s="196">
        <f>C28-C30-C40</f>
        <v>0</v>
      </c>
      <c r="D95" s="196">
        <f>D28-D30-D40</f>
        <v>0</v>
      </c>
      <c r="E95" s="196">
        <f>E28-E30-E40</f>
        <v>0</v>
      </c>
      <c r="F95" s="196"/>
      <c r="G95" s="196"/>
      <c r="H95" s="196"/>
      <c r="I95" s="196"/>
      <c r="J95" s="196"/>
      <c r="K95" s="196"/>
      <c r="L95" s="196"/>
      <c r="M95" s="196"/>
      <c r="N95" s="196"/>
      <c r="O95" s="196"/>
    </row>
    <row r="96" spans="2:15" s="199" customFormat="1" hidden="1" x14ac:dyDescent="0.25">
      <c r="B96" s="198" t="s">
        <v>132</v>
      </c>
      <c r="C96" s="196">
        <f>C30-C31-C32-C33-C34-C35-C36-C37-C38-C39</f>
        <v>0</v>
      </c>
      <c r="D96" s="196">
        <f>D30-D31-D32-D33-D34-D35-D36-D37-D38-D39</f>
        <v>0</v>
      </c>
      <c r="E96" s="196">
        <f>E30-E31-E32-E33-E34-E35-E36-E37-E38-E39</f>
        <v>0</v>
      </c>
      <c r="F96" s="196"/>
      <c r="G96" s="196"/>
      <c r="H96" s="196"/>
      <c r="I96" s="196"/>
      <c r="J96" s="196"/>
      <c r="K96" s="196"/>
      <c r="L96" s="196"/>
      <c r="M96" s="196"/>
      <c r="N96" s="196"/>
      <c r="O96" s="196"/>
    </row>
    <row r="97" spans="2:15" s="199" customFormat="1" hidden="1" x14ac:dyDescent="0.25">
      <c r="B97" s="198" t="s">
        <v>133</v>
      </c>
      <c r="C97" s="196">
        <f>C40-C41-C42-C43</f>
        <v>0</v>
      </c>
      <c r="D97" s="196">
        <f>D40-D41-D42-D43</f>
        <v>0</v>
      </c>
      <c r="E97" s="196">
        <f>E40-E41-E42-E43</f>
        <v>0</v>
      </c>
      <c r="F97" s="196"/>
      <c r="G97" s="196"/>
      <c r="H97" s="196"/>
      <c r="I97" s="196"/>
      <c r="J97" s="196"/>
      <c r="K97" s="196"/>
      <c r="L97" s="196"/>
      <c r="M97" s="196"/>
      <c r="N97" s="196"/>
      <c r="O97" s="196"/>
    </row>
    <row r="98" spans="2:15" s="197" customFormat="1" hidden="1" x14ac:dyDescent="0.25">
      <c r="B98" s="200"/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</row>
    <row r="99" spans="2:15" s="203" customFormat="1" ht="14.25" hidden="1" x14ac:dyDescent="0.2">
      <c r="B99" s="201" t="s">
        <v>160</v>
      </c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</row>
    <row r="100" spans="2:15" s="203" customFormat="1" ht="14.25" hidden="1" x14ac:dyDescent="0.2">
      <c r="B100" s="201" t="s">
        <v>134</v>
      </c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M100" s="202"/>
      <c r="N100" s="202"/>
      <c r="O100" s="202"/>
    </row>
    <row r="101" spans="2:15" s="203" customFormat="1" ht="14.25" hidden="1" x14ac:dyDescent="0.2">
      <c r="B101" s="201" t="s">
        <v>135</v>
      </c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</row>
    <row r="102" spans="2:15" s="203" customFormat="1" ht="14.25" hidden="1" x14ac:dyDescent="0.2">
      <c r="B102" s="201" t="s">
        <v>136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</row>
    <row r="103" spans="2:15" s="197" customFormat="1" hidden="1" x14ac:dyDescent="0.25">
      <c r="B103" s="195" t="s">
        <v>161</v>
      </c>
      <c r="C103" s="196">
        <f t="shared" ref="C103:E104" si="0">C31-C99</f>
        <v>0</v>
      </c>
      <c r="D103" s="196">
        <f t="shared" si="0"/>
        <v>0</v>
      </c>
      <c r="E103" s="196">
        <f t="shared" si="0"/>
        <v>0</v>
      </c>
      <c r="F103" s="196"/>
      <c r="G103" s="196"/>
      <c r="H103" s="196"/>
      <c r="I103" s="196"/>
      <c r="J103" s="196"/>
      <c r="K103" s="196"/>
      <c r="L103" s="196"/>
      <c r="M103" s="196"/>
      <c r="N103" s="196"/>
      <c r="O103" s="196"/>
    </row>
    <row r="104" spans="2:15" s="197" customFormat="1" hidden="1" x14ac:dyDescent="0.25">
      <c r="B104" s="195" t="s">
        <v>137</v>
      </c>
      <c r="C104" s="196">
        <f t="shared" si="0"/>
        <v>0</v>
      </c>
      <c r="D104" s="196">
        <f t="shared" si="0"/>
        <v>0</v>
      </c>
      <c r="E104" s="196">
        <f t="shared" si="0"/>
        <v>0</v>
      </c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</row>
    <row r="105" spans="2:15" s="197" customFormat="1" hidden="1" x14ac:dyDescent="0.25">
      <c r="B105" s="195" t="s">
        <v>138</v>
      </c>
      <c r="C105" s="196">
        <f t="shared" ref="C105:E106" si="1">C41-C101</f>
        <v>0</v>
      </c>
      <c r="D105" s="196">
        <f t="shared" si="1"/>
        <v>0</v>
      </c>
      <c r="E105" s="196">
        <f t="shared" si="1"/>
        <v>0</v>
      </c>
      <c r="F105" s="196"/>
      <c r="G105" s="196"/>
      <c r="H105" s="196"/>
      <c r="I105" s="196"/>
      <c r="J105" s="196"/>
      <c r="K105" s="196"/>
      <c r="L105" s="196"/>
      <c r="M105" s="196"/>
      <c r="N105" s="196"/>
      <c r="O105" s="196"/>
    </row>
    <row r="106" spans="2:15" s="199" customFormat="1" hidden="1" x14ac:dyDescent="0.25">
      <c r="B106" s="195" t="s">
        <v>139</v>
      </c>
      <c r="C106" s="196">
        <f t="shared" si="1"/>
        <v>0</v>
      </c>
      <c r="D106" s="196">
        <f t="shared" si="1"/>
        <v>0</v>
      </c>
      <c r="E106" s="196">
        <f t="shared" si="1"/>
        <v>0</v>
      </c>
      <c r="F106" s="196"/>
      <c r="G106" s="196"/>
      <c r="H106" s="196"/>
      <c r="I106" s="196"/>
      <c r="J106" s="196"/>
      <c r="K106" s="196"/>
      <c r="L106" s="196"/>
      <c r="M106" s="196"/>
      <c r="N106" s="196"/>
      <c r="O106" s="196"/>
    </row>
    <row r="107" spans="2:15" s="205" customFormat="1" hidden="1" x14ac:dyDescent="0.25">
      <c r="B107" s="200"/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</row>
    <row r="108" spans="2:15" s="208" customFormat="1" hidden="1" x14ac:dyDescent="0.25">
      <c r="B108" s="206" t="s">
        <v>140</v>
      </c>
      <c r="C108" s="207">
        <f>C29-C31-C32-C33-C34-C41-C42-C43</f>
        <v>0</v>
      </c>
      <c r="D108" s="207">
        <f>D29-D31-D32-D33-D34-D41-D42-D43</f>
        <v>0</v>
      </c>
      <c r="E108" s="207">
        <f>E29-E31-E32-E33-E34-E41-E42-E43</f>
        <v>0</v>
      </c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</row>
    <row r="109" spans="2:15" s="199" customFormat="1" ht="23.25" hidden="1" x14ac:dyDescent="0.25">
      <c r="B109" s="36" t="s">
        <v>8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</row>
    <row r="110" spans="2:15" s="199" customFormat="1" hidden="1" x14ac:dyDescent="0.25">
      <c r="B110" s="209" t="s">
        <v>141</v>
      </c>
      <c r="C110" s="200">
        <f>C44-C45-C46</f>
        <v>0</v>
      </c>
      <c r="D110" s="200">
        <f>D44-D45-D46</f>
        <v>0</v>
      </c>
      <c r="E110" s="200">
        <f>E44-E45-E46</f>
        <v>0</v>
      </c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</row>
    <row r="111" spans="2:15" s="199" customFormat="1" hidden="1" x14ac:dyDescent="0.25">
      <c r="B111" s="209" t="s">
        <v>142</v>
      </c>
      <c r="C111" s="200">
        <f>C47-C48-C49-C50-C51-C52-C53-C54-C55-C56-C57-C58-C59-C60-C61</f>
        <v>4.6566128730773926E-10</v>
      </c>
      <c r="D111" s="200">
        <f>D47-D48-D49-D50-D51-D52-D53-D54-D55-D56-D57-D58-D59-D60-D61-D62</f>
        <v>0</v>
      </c>
      <c r="E111" s="200">
        <f>E47-E48-E49-E50-E51-E52-E53-E54-E55-E56-E57-E58-E59-E60-E61-E62</f>
        <v>0</v>
      </c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</row>
    <row r="112" spans="2:15" s="199" customFormat="1" hidden="1" x14ac:dyDescent="0.25">
      <c r="B112" s="209" t="s">
        <v>143</v>
      </c>
      <c r="C112" s="200">
        <f>C44-C47</f>
        <v>0</v>
      </c>
      <c r="D112" s="200">
        <f>D44-D47</f>
        <v>0</v>
      </c>
      <c r="E112" s="200">
        <f>E44-E47</f>
        <v>0</v>
      </c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</row>
    <row r="113" spans="2:15" s="199" customFormat="1" hidden="1" x14ac:dyDescent="0.25">
      <c r="B113" s="210" t="s">
        <v>144</v>
      </c>
      <c r="C113" s="200">
        <f>C67-0</f>
        <v>0</v>
      </c>
      <c r="D113" s="200">
        <f>D67-0</f>
        <v>0</v>
      </c>
      <c r="E113" s="200">
        <f>E67-0</f>
        <v>0</v>
      </c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</row>
    <row r="114" spans="2:15" s="213" customFormat="1" hidden="1" x14ac:dyDescent="0.25">
      <c r="B114" s="211" t="s">
        <v>145</v>
      </c>
      <c r="C114" s="212"/>
      <c r="D114" s="212">
        <f>D62/(D44-D30)*100</f>
        <v>2.5000001775213718</v>
      </c>
      <c r="E114" s="212">
        <f>E62/(E44-E30)*100</f>
        <v>5.0000003127402728</v>
      </c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</row>
    <row r="115" spans="2:15" s="199" customFormat="1" ht="23.25" hidden="1" x14ac:dyDescent="0.25">
      <c r="B115" s="37" t="s">
        <v>49</v>
      </c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</row>
    <row r="116" spans="2:15" s="199" customFormat="1" hidden="1" x14ac:dyDescent="0.25">
      <c r="B116" s="110" t="s">
        <v>146</v>
      </c>
      <c r="C116" s="200">
        <f>C7-C44-C63</f>
        <v>0</v>
      </c>
      <c r="D116" s="200">
        <f>D7-D44-D63</f>
        <v>0</v>
      </c>
      <c r="E116" s="200">
        <f>E7-E44-E63</f>
        <v>0</v>
      </c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</row>
    <row r="117" spans="2:15" s="199" customFormat="1" ht="23.25" hidden="1" x14ac:dyDescent="0.25">
      <c r="B117" s="36" t="s">
        <v>147</v>
      </c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</row>
    <row r="118" spans="2:15" s="199" customFormat="1" hidden="1" x14ac:dyDescent="0.25">
      <c r="B118" s="198" t="s">
        <v>148</v>
      </c>
      <c r="C118" s="200">
        <f>C70-C71-C72-C73</f>
        <v>0</v>
      </c>
      <c r="D118" s="200">
        <f>D70-D71-D72-D73</f>
        <v>0</v>
      </c>
      <c r="E118" s="200">
        <f>E70-E71-E72-E73</f>
        <v>0</v>
      </c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</row>
    <row r="119" spans="2:15" s="215" customFormat="1" ht="14.25" hidden="1" x14ac:dyDescent="0.2">
      <c r="B119" s="201" t="s">
        <v>149</v>
      </c>
      <c r="C119" s="214"/>
      <c r="D119" s="214"/>
      <c r="E119" s="214"/>
      <c r="F119" s="214"/>
      <c r="G119" s="214"/>
      <c r="H119" s="214"/>
      <c r="I119" s="214"/>
      <c r="J119" s="214"/>
      <c r="K119" s="214"/>
      <c r="L119" s="214"/>
      <c r="M119" s="214"/>
      <c r="N119" s="214"/>
      <c r="O119" s="214"/>
    </row>
    <row r="120" spans="2:15" s="199" customFormat="1" hidden="1" x14ac:dyDescent="0.25">
      <c r="B120" s="216" t="s">
        <v>150</v>
      </c>
      <c r="C120" s="214">
        <f t="shared" ref="C120:E121" si="2">C72</f>
        <v>0</v>
      </c>
      <c r="D120" s="214">
        <f t="shared" si="2"/>
        <v>0</v>
      </c>
      <c r="E120" s="214">
        <f t="shared" si="2"/>
        <v>0</v>
      </c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</row>
    <row r="121" spans="2:15" s="199" customFormat="1" hidden="1" x14ac:dyDescent="0.25">
      <c r="B121" s="216" t="s">
        <v>151</v>
      </c>
      <c r="C121" s="214">
        <f t="shared" si="2"/>
        <v>0</v>
      </c>
      <c r="D121" s="214">
        <f t="shared" si="2"/>
        <v>0</v>
      </c>
      <c r="E121" s="214">
        <f t="shared" si="2"/>
        <v>0</v>
      </c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</row>
    <row r="122" spans="2:15" s="199" customFormat="1" hidden="1" x14ac:dyDescent="0.25">
      <c r="B122" s="198"/>
      <c r="C122" s="200"/>
      <c r="D122" s="200"/>
      <c r="E122" s="200"/>
      <c r="F122" s="214"/>
      <c r="G122" s="214"/>
      <c r="H122" s="214"/>
      <c r="I122" s="214"/>
      <c r="J122" s="214"/>
      <c r="K122" s="214"/>
      <c r="L122" s="214"/>
      <c r="M122" s="214"/>
      <c r="N122" s="214"/>
      <c r="O122" s="214"/>
    </row>
    <row r="123" spans="2:15" s="199" customFormat="1" hidden="1" x14ac:dyDescent="0.25">
      <c r="B123" s="198" t="s">
        <v>152</v>
      </c>
      <c r="C123" s="200">
        <f>C71-C119</f>
        <v>0</v>
      </c>
      <c r="D123" s="200">
        <f>D71-D119</f>
        <v>0</v>
      </c>
      <c r="E123" s="200">
        <f>E71-E119</f>
        <v>0</v>
      </c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</row>
    <row r="124" spans="2:15" s="199" customFormat="1" hidden="1" x14ac:dyDescent="0.25">
      <c r="B124" s="198" t="s">
        <v>153</v>
      </c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</row>
    <row r="125" spans="2:15" s="199" customFormat="1" hidden="1" x14ac:dyDescent="0.25">
      <c r="B125" s="198" t="s">
        <v>154</v>
      </c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</row>
    <row r="126" spans="2:15" ht="18.75" hidden="1" x14ac:dyDescent="0.3">
      <c r="B126" s="114" t="s">
        <v>155</v>
      </c>
      <c r="C126" s="115" t="s">
        <v>61</v>
      </c>
      <c r="D126" s="116" t="e">
        <f>D49/C49*100-100</f>
        <v>#DIV/0!</v>
      </c>
      <c r="E126" s="116" t="e">
        <f>E49/D49*100-100</f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opLeftCell="A16" zoomScale="60" zoomScaleNormal="60" workbookViewId="0">
      <selection activeCell="C9" sqref="C9:E24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185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7"/>
      <c r="E9" s="58"/>
    </row>
    <row r="10" spans="1:5" s="7" customFormat="1" ht="18.75" x14ac:dyDescent="0.25">
      <c r="A10" s="29" t="s">
        <v>23</v>
      </c>
      <c r="B10" s="41" t="s">
        <v>10</v>
      </c>
      <c r="C10" s="59"/>
      <c r="D10" s="60"/>
      <c r="E10" s="60"/>
    </row>
    <row r="11" spans="1:5" ht="18.75" x14ac:dyDescent="0.25">
      <c r="A11" s="28" t="s">
        <v>24</v>
      </c>
      <c r="B11" s="42" t="s">
        <v>11</v>
      </c>
      <c r="C11" s="61"/>
      <c r="D11" s="62"/>
      <c r="E11" s="63"/>
    </row>
    <row r="12" spans="1:5" ht="18.75" x14ac:dyDescent="0.25">
      <c r="A12" s="28" t="s">
        <v>25</v>
      </c>
      <c r="B12" s="42" t="s">
        <v>12</v>
      </c>
      <c r="C12" s="61"/>
      <c r="D12" s="62"/>
      <c r="E12" s="63"/>
    </row>
    <row r="13" spans="1:5" ht="18.75" x14ac:dyDescent="0.25">
      <c r="A13" s="28" t="s">
        <v>26</v>
      </c>
      <c r="B13" s="42" t="s">
        <v>162</v>
      </c>
      <c r="C13" s="61"/>
      <c r="D13" s="62"/>
      <c r="E13" s="63"/>
    </row>
    <row r="14" spans="1:5" ht="18.75" x14ac:dyDescent="0.25">
      <c r="A14" s="28" t="s">
        <v>27</v>
      </c>
      <c r="B14" s="42" t="s">
        <v>13</v>
      </c>
      <c r="C14" s="61"/>
      <c r="D14" s="62"/>
      <c r="E14" s="63"/>
    </row>
    <row r="15" spans="1:5" ht="18.75" x14ac:dyDescent="0.25">
      <c r="A15" s="28" t="s">
        <v>28</v>
      </c>
      <c r="B15" s="42" t="s">
        <v>14</v>
      </c>
      <c r="C15" s="61"/>
      <c r="D15" s="62"/>
      <c r="E15" s="63"/>
    </row>
    <row r="16" spans="1:5" ht="18.75" x14ac:dyDescent="0.25">
      <c r="A16" s="28" t="s">
        <v>29</v>
      </c>
      <c r="B16" s="42" t="s">
        <v>15</v>
      </c>
      <c r="C16" s="61"/>
      <c r="D16" s="62"/>
      <c r="E16" s="63"/>
    </row>
    <row r="17" spans="1:19" ht="18.75" x14ac:dyDescent="0.25">
      <c r="A17" s="28" t="s">
        <v>30</v>
      </c>
      <c r="B17" s="42" t="s">
        <v>16</v>
      </c>
      <c r="C17" s="61"/>
      <c r="D17" s="62"/>
      <c r="E17" s="63"/>
    </row>
    <row r="18" spans="1:19" ht="18.75" x14ac:dyDescent="0.25">
      <c r="A18" s="28" t="s">
        <v>31</v>
      </c>
      <c r="B18" s="42" t="s">
        <v>17</v>
      </c>
      <c r="C18" s="61"/>
      <c r="D18" s="62"/>
      <c r="E18" s="63"/>
    </row>
    <row r="19" spans="1:19" ht="18.75" x14ac:dyDescent="0.25">
      <c r="A19" s="28" t="s">
        <v>32</v>
      </c>
      <c r="B19" s="42" t="s">
        <v>18</v>
      </c>
      <c r="C19" s="61"/>
      <c r="D19" s="62"/>
      <c r="E19" s="6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2"/>
      <c r="E21" s="63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C30+C40</f>
        <v>0</v>
      </c>
      <c r="D28" s="64">
        <f>D30+D40</f>
        <v>0</v>
      </c>
      <c r="E28" s="64">
        <f>E30+E40</f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C31+C32+C33+C34+C41+C42+C43</f>
        <v>0</v>
      </c>
      <c r="D29" s="123">
        <f t="shared" ref="D29:E29" si="1">D31+D32+D33+D34+D41+D42+D43</f>
        <v>0</v>
      </c>
      <c r="E29" s="123">
        <f t="shared" si="1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2">D31+D32+D33+D34+D35+D36+D37+D38+D39</f>
        <v>0</v>
      </c>
      <c r="E30" s="119">
        <f t="shared" si="2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3">SUM(C41:C43)</f>
        <v>0</v>
      </c>
      <c r="D40" s="121">
        <f t="shared" si="3"/>
        <v>0</v>
      </c>
      <c r="E40" s="121">
        <f t="shared" si="3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 t="shared" ref="C44:E44" si="4">C45+C46</f>
        <v>8024649.7700000005</v>
      </c>
      <c r="D44" s="68">
        <f t="shared" si="4"/>
        <v>8043935.8155000005</v>
      </c>
      <c r="E44" s="68">
        <f t="shared" si="4"/>
        <v>8222575.8109999998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f>C47-C46</f>
        <v>8018649.7700000005</v>
      </c>
      <c r="D45" s="69">
        <f t="shared" ref="D45:E45" si="5">D47-D46</f>
        <v>8037935.8155000005</v>
      </c>
      <c r="E45" s="69">
        <f t="shared" si="5"/>
        <v>8216575.8109999998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6000</v>
      </c>
      <c r="D46" s="70">
        <v>6000</v>
      </c>
      <c r="E46" s="71">
        <v>6000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8024649.7700000005</v>
      </c>
      <c r="D47" s="94">
        <f>D48+D49+D50+D51+D52+D53+D54+D55+D56+D57+D58+D59+D60+D61+D62</f>
        <v>8043935.8155000005</v>
      </c>
      <c r="E47" s="94">
        <f>E48+E49+E50+E51+E52+E53+E54+E55+E56+E57+E58+E59+E60+E61+E62</f>
        <v>8222575.8109999998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3727680.66</v>
      </c>
      <c r="D48" s="63">
        <f>5473605.82-201098.41</f>
        <v>5272507.41</v>
      </c>
      <c r="E48" s="63">
        <f>5586675.81-402196.8</f>
        <v>5184479.01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18.75" x14ac:dyDescent="0.25">
      <c r="A50" s="31" t="s">
        <v>103</v>
      </c>
      <c r="B50" s="95" t="s">
        <v>104</v>
      </c>
      <c r="C50" s="63">
        <v>50000</v>
      </c>
      <c r="D50" s="63">
        <v>700000</v>
      </c>
      <c r="E50" s="63">
        <v>700000</v>
      </c>
    </row>
    <row r="51" spans="1:19" s="8" customFormat="1" ht="18.75" x14ac:dyDescent="0.25">
      <c r="A51" s="31" t="s">
        <v>105</v>
      </c>
      <c r="B51" s="95" t="s">
        <v>106</v>
      </c>
      <c r="C51" s="61">
        <v>1469130</v>
      </c>
      <c r="D51" s="62">
        <v>1438370</v>
      </c>
      <c r="E51" s="63">
        <v>1503940</v>
      </c>
    </row>
    <row r="52" spans="1:19" s="8" customFormat="1" ht="18.75" x14ac:dyDescent="0.25">
      <c r="A52" s="31" t="s">
        <v>107</v>
      </c>
      <c r="B52" s="95" t="s">
        <v>109</v>
      </c>
      <c r="C52" s="63">
        <v>300000</v>
      </c>
      <c r="D52" s="63">
        <v>405960</v>
      </c>
      <c r="E52" s="63">
        <v>405960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424631.61</v>
      </c>
      <c r="D54" s="63"/>
      <c r="E54" s="63"/>
    </row>
    <row r="55" spans="1:19" s="8" customFormat="1" ht="18.75" x14ac:dyDescent="0.25">
      <c r="A55" s="31" t="s">
        <v>112</v>
      </c>
      <c r="B55" s="95" t="s">
        <v>115</v>
      </c>
      <c r="C55" s="63">
        <v>2037207.5</v>
      </c>
      <c r="D55" s="63">
        <v>0</v>
      </c>
      <c r="E55" s="63">
        <v>0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6000</v>
      </c>
      <c r="D57" s="63">
        <v>6000</v>
      </c>
      <c r="E57" s="63">
        <v>6000</v>
      </c>
    </row>
    <row r="58" spans="1:19" s="8" customFormat="1" ht="18.75" x14ac:dyDescent="0.25">
      <c r="A58" s="31" t="s">
        <v>118</v>
      </c>
      <c r="B58" s="95" t="s">
        <v>121</v>
      </c>
      <c r="C58" s="63">
        <v>10000</v>
      </c>
      <c r="D58" s="63">
        <v>20000</v>
      </c>
      <c r="E58" s="63">
        <v>20000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f>8043935.82*2.5%+0.01</f>
        <v>201098.40550000002</v>
      </c>
      <c r="E62" s="63">
        <f>8043935.82*5%+0.01</f>
        <v>402196.80100000004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-8024649.7700000005</v>
      </c>
      <c r="D63" s="68">
        <f>D7-D44</f>
        <v>-8043935.8155000005</v>
      </c>
      <c r="E63" s="68">
        <f>E7-E44</f>
        <v>-8222575.8109999998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0</v>
      </c>
      <c r="D70" s="90">
        <f t="shared" ref="D70:E70" si="6">D71+D72+D73</f>
        <v>0</v>
      </c>
      <c r="E70" s="90">
        <f t="shared" si="6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/>
      <c r="D71" s="60"/>
      <c r="E71" s="60"/>
    </row>
    <row r="72" spans="1:25" s="8" customFormat="1" ht="56.25" x14ac:dyDescent="0.25">
      <c r="A72" s="31" t="s">
        <v>89</v>
      </c>
      <c r="B72" s="84" t="s">
        <v>74</v>
      </c>
      <c r="C72" s="59"/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94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64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7">D8-D9-D11-D12-D14-D15-D16-D17-D18-D19-D20-D21-D22-D23-D24-D25-D26-D27</f>
        <v>0</v>
      </c>
      <c r="E94" s="96">
        <f t="shared" si="7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8">C28-C30-C40</f>
        <v>0</v>
      </c>
      <c r="D95" s="96">
        <f t="shared" si="8"/>
        <v>0</v>
      </c>
      <c r="E95" s="96">
        <f t="shared" si="8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9">C30-C31-C32-C33-C34-C35-C36-C37-C38-C39</f>
        <v>0</v>
      </c>
      <c r="D96" s="96">
        <f t="shared" si="9"/>
        <v>0</v>
      </c>
      <c r="E96" s="96">
        <f t="shared" si="9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10">D40-D41-D42-D43</f>
        <v>0</v>
      </c>
      <c r="E97" s="96">
        <f t="shared" si="10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1">C31-C99</f>
        <v>0</v>
      </c>
      <c r="D103" s="96">
        <f t="shared" si="11"/>
        <v>0</v>
      </c>
      <c r="E103" s="96">
        <f t="shared" si="11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1"/>
        <v>0</v>
      </c>
      <c r="D104" s="96">
        <f t="shared" si="11"/>
        <v>0</v>
      </c>
      <c r="E104" s="96">
        <f t="shared" si="11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2">D41-D101</f>
        <v>0</v>
      </c>
      <c r="E105" s="96">
        <f t="shared" si="12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2"/>
        <v>0</v>
      </c>
      <c r="E106" s="96">
        <f t="shared" si="12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3">C29-C31-C32-C33-C34-C41-C42-C43</f>
        <v>0</v>
      </c>
      <c r="D108" s="104">
        <f t="shared" si="13"/>
        <v>0</v>
      </c>
      <c r="E108" s="104">
        <f t="shared" si="13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0</v>
      </c>
      <c r="D110" s="23">
        <f t="shared" ref="D110:E110" si="14">D44-D45-D46</f>
        <v>0</v>
      </c>
      <c r="E110" s="23">
        <f t="shared" si="14"/>
        <v>0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4.6566128730773926E-10</v>
      </c>
      <c r="D111" s="23">
        <f>D47-D48-D49-D50-D51-D52-D53-D54-D55-D56-D57-D58-D59-D60-D61-D62</f>
        <v>3.2014213502407074E-10</v>
      </c>
      <c r="E111" s="23">
        <f>E47-E48-E49-E50-E51-E52-E53-E54-E55-E56-E57-E58-E59-E60-E61-E62</f>
        <v>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0</v>
      </c>
      <c r="D112" s="23">
        <f t="shared" ref="D112:E112" si="15">D44-D47</f>
        <v>0</v>
      </c>
      <c r="E112" s="23">
        <f t="shared" si="15"/>
        <v>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6">D67-0</f>
        <v>0</v>
      </c>
      <c r="E113" s="23">
        <f t="shared" si="16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>
        <f>D62/(D44-D30)*100</f>
        <v>2.5000001257158218</v>
      </c>
      <c r="E114" s="109">
        <f>E62/(E44-E30)*100</f>
        <v>4.8913723660893353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7">D70-D71-D72-D73</f>
        <v>0</v>
      </c>
      <c r="E118" s="23">
        <f t="shared" si="17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0</v>
      </c>
      <c r="D120" s="112">
        <f t="shared" ref="D120:E121" si="18">D72</f>
        <v>0</v>
      </c>
      <c r="E120" s="112">
        <f t="shared" si="18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8"/>
        <v>0</v>
      </c>
      <c r="E121" s="112">
        <f t="shared" si="18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0</v>
      </c>
      <c r="D123" s="23">
        <f t="shared" ref="D123:E123" si="19">D71-D119</f>
        <v>0</v>
      </c>
      <c r="E123" s="23">
        <f t="shared" si="19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20">D49/C49*100-100</f>
        <v>#DIV/0!</v>
      </c>
      <c r="E126" s="116" t="e">
        <f t="shared" si="20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opLeftCell="A22" zoomScale="50" zoomScaleNormal="50" workbookViewId="0">
      <selection activeCell="C9" sqref="C9:E24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73.5" customHeight="1" x14ac:dyDescent="0.25">
      <c r="A2" s="220" t="s">
        <v>186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7"/>
      <c r="E9" s="58"/>
    </row>
    <row r="10" spans="1:5" s="7" customFormat="1" ht="18.75" x14ac:dyDescent="0.25">
      <c r="A10" s="29" t="s">
        <v>23</v>
      </c>
      <c r="B10" s="41" t="s">
        <v>10</v>
      </c>
      <c r="C10" s="59"/>
      <c r="D10" s="60"/>
      <c r="E10" s="60"/>
    </row>
    <row r="11" spans="1:5" ht="18.75" x14ac:dyDescent="0.25">
      <c r="A11" s="28" t="s">
        <v>24</v>
      </c>
      <c r="B11" s="42" t="s">
        <v>11</v>
      </c>
      <c r="C11" s="61"/>
      <c r="D11" s="62"/>
      <c r="E11" s="63"/>
    </row>
    <row r="12" spans="1:5" ht="18.75" x14ac:dyDescent="0.25">
      <c r="A12" s="28" t="s">
        <v>25</v>
      </c>
      <c r="B12" s="42" t="s">
        <v>12</v>
      </c>
      <c r="C12" s="61"/>
      <c r="D12" s="62"/>
      <c r="E12" s="63"/>
    </row>
    <row r="13" spans="1:5" ht="18.75" x14ac:dyDescent="0.25">
      <c r="A13" s="28" t="s">
        <v>26</v>
      </c>
      <c r="B13" s="42" t="s">
        <v>162</v>
      </c>
      <c r="C13" s="61"/>
      <c r="D13" s="62"/>
      <c r="E13" s="63"/>
    </row>
    <row r="14" spans="1:5" ht="18.75" x14ac:dyDescent="0.25">
      <c r="A14" s="28" t="s">
        <v>27</v>
      </c>
      <c r="B14" s="42" t="s">
        <v>13</v>
      </c>
      <c r="C14" s="61"/>
      <c r="D14" s="62"/>
      <c r="E14" s="63"/>
    </row>
    <row r="15" spans="1:5" ht="18.75" x14ac:dyDescent="0.25">
      <c r="A15" s="28" t="s">
        <v>28</v>
      </c>
      <c r="B15" s="42" t="s">
        <v>14</v>
      </c>
      <c r="C15" s="61"/>
      <c r="D15" s="62"/>
      <c r="E15" s="63"/>
    </row>
    <row r="16" spans="1:5" ht="18.75" x14ac:dyDescent="0.25">
      <c r="A16" s="28" t="s">
        <v>29</v>
      </c>
      <c r="B16" s="42" t="s">
        <v>15</v>
      </c>
      <c r="C16" s="61"/>
      <c r="D16" s="62"/>
      <c r="E16" s="63"/>
    </row>
    <row r="17" spans="1:19" ht="18.75" x14ac:dyDescent="0.25">
      <c r="A17" s="28" t="s">
        <v>30</v>
      </c>
      <c r="B17" s="42" t="s">
        <v>16</v>
      </c>
      <c r="C17" s="61"/>
      <c r="D17" s="62"/>
      <c r="E17" s="63"/>
    </row>
    <row r="18" spans="1:19" ht="18.75" x14ac:dyDescent="0.25">
      <c r="A18" s="28" t="s">
        <v>31</v>
      </c>
      <c r="B18" s="42" t="s">
        <v>17</v>
      </c>
      <c r="C18" s="61"/>
      <c r="D18" s="62"/>
      <c r="E18" s="63"/>
    </row>
    <row r="19" spans="1:19" ht="18.75" x14ac:dyDescent="0.25">
      <c r="A19" s="28" t="s">
        <v>32</v>
      </c>
      <c r="B19" s="42" t="s">
        <v>18</v>
      </c>
      <c r="C19" s="61"/>
      <c r="D19" s="62"/>
      <c r="E19" s="63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2"/>
      <c r="E21" s="63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C30+C40</f>
        <v>0</v>
      </c>
      <c r="D28" s="64">
        <f>D30+D40</f>
        <v>0</v>
      </c>
      <c r="E28" s="64">
        <f>E30+E40</f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C31+C32+C33+C34+C41+C42+C43</f>
        <v>0</v>
      </c>
      <c r="D29" s="123">
        <f t="shared" ref="D29:E29" si="1">D31+D32+D33+D34+D41+D42+D43</f>
        <v>0</v>
      </c>
      <c r="E29" s="123">
        <f t="shared" si="1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2">D31+D32+D33+D34+D35+D36+D37+D38+D39</f>
        <v>0</v>
      </c>
      <c r="E30" s="119">
        <f t="shared" si="2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3">SUM(C41:C43)</f>
        <v>0</v>
      </c>
      <c r="D40" s="121">
        <f t="shared" si="3"/>
        <v>0</v>
      </c>
      <c r="E40" s="121">
        <f t="shared" si="3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 t="shared" ref="C44:E44" si="4">C45+C46</f>
        <v>8269017.0199999996</v>
      </c>
      <c r="D44" s="68">
        <f t="shared" si="4"/>
        <v>7441928.6699999999</v>
      </c>
      <c r="E44" s="68">
        <f t="shared" si="4"/>
        <v>7512124.96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v>8264517.0199999996</v>
      </c>
      <c r="D45" s="70">
        <v>7437428.6699999999</v>
      </c>
      <c r="E45" s="71">
        <v>7507624.96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4500</v>
      </c>
      <c r="D46" s="70">
        <v>4500</v>
      </c>
      <c r="E46" s="71">
        <v>4500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8269017.0199999996</v>
      </c>
      <c r="D47" s="94">
        <f>D48+D49+D50+D51+D52+D53+D54+D55+D56+D57+D58+D59+D60+D61+D62</f>
        <v>7441928.6699999999</v>
      </c>
      <c r="E47" s="94">
        <f>E48+E49+E50+E51+E52+E53+E54+E55+E56+E57+E58+E59+E60+E61+E62</f>
        <v>7512124.96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3245470</v>
      </c>
      <c r="D48" s="63">
        <v>4040460</v>
      </c>
      <c r="E48" s="63">
        <v>4040460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37.5" x14ac:dyDescent="0.25">
      <c r="A50" s="31" t="s">
        <v>103</v>
      </c>
      <c r="B50" s="95" t="s">
        <v>104</v>
      </c>
      <c r="C50" s="63">
        <v>50000</v>
      </c>
      <c r="D50" s="63">
        <v>185000</v>
      </c>
      <c r="E50" s="63">
        <v>185000</v>
      </c>
    </row>
    <row r="51" spans="1:19" s="8" customFormat="1" ht="18.75" x14ac:dyDescent="0.25">
      <c r="A51" s="31" t="s">
        <v>105</v>
      </c>
      <c r="B51" s="95" t="s">
        <v>106</v>
      </c>
      <c r="C51" s="63">
        <v>897800</v>
      </c>
      <c r="D51" s="63">
        <v>879000</v>
      </c>
      <c r="E51" s="63">
        <v>919070</v>
      </c>
    </row>
    <row r="52" spans="1:19" s="8" customFormat="1" ht="18.75" x14ac:dyDescent="0.25">
      <c r="A52" s="31" t="s">
        <v>107</v>
      </c>
      <c r="B52" s="95" t="s">
        <v>109</v>
      </c>
      <c r="C52" s="63">
        <v>595000</v>
      </c>
      <c r="D52" s="63">
        <v>595000</v>
      </c>
      <c r="E52" s="63">
        <v>595000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254778.97</v>
      </c>
      <c r="D54" s="63"/>
      <c r="E54" s="63"/>
    </row>
    <row r="55" spans="1:19" s="8" customFormat="1" ht="18.75" x14ac:dyDescent="0.25">
      <c r="A55" s="31" t="s">
        <v>112</v>
      </c>
      <c r="B55" s="95" t="s">
        <v>115</v>
      </c>
      <c r="C55" s="63">
        <v>2938368.05</v>
      </c>
      <c r="D55" s="63">
        <v>1157420.45</v>
      </c>
      <c r="E55" s="63">
        <v>997988.71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197000</v>
      </c>
      <c r="D57" s="63">
        <v>214000</v>
      </c>
      <c r="E57" s="63">
        <v>214000</v>
      </c>
    </row>
    <row r="58" spans="1:19" s="8" customFormat="1" ht="18.75" x14ac:dyDescent="0.25">
      <c r="A58" s="31" t="s">
        <v>118</v>
      </c>
      <c r="B58" s="95" t="s">
        <v>121</v>
      </c>
      <c r="C58" s="63">
        <v>90600</v>
      </c>
      <c r="D58" s="63">
        <v>185000</v>
      </c>
      <c r="E58" s="63">
        <v>185000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v>186048.22</v>
      </c>
      <c r="E62" s="63">
        <v>375606.25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-8269017.0199999996</v>
      </c>
      <c r="D63" s="68">
        <f>D7-D44</f>
        <v>-7441928.6699999999</v>
      </c>
      <c r="E63" s="68">
        <f>E7-E44</f>
        <v>-7512124.96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5214751.5599999996</v>
      </c>
      <c r="D70" s="90">
        <f t="shared" ref="D70:E70" si="5">D71+D72+D73</f>
        <v>4397556.33</v>
      </c>
      <c r="E70" s="90">
        <f t="shared" si="5"/>
        <v>4429189.8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>
        <v>5214751.5599999996</v>
      </c>
      <c r="D71" s="60">
        <v>4397556.33</v>
      </c>
      <c r="E71" s="60">
        <v>4429189.8</v>
      </c>
    </row>
    <row r="72" spans="1:25" s="8" customFormat="1" ht="56.25" x14ac:dyDescent="0.25">
      <c r="A72" s="31" t="s">
        <v>89</v>
      </c>
      <c r="B72" s="84" t="s">
        <v>74</v>
      </c>
      <c r="C72" s="59"/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94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64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6">D8-D9-D11-D12-D14-D15-D16-D17-D18-D19-D20-D21-D22-D23-D24-D25-D26-D27</f>
        <v>0</v>
      </c>
      <c r="E94" s="96">
        <f t="shared" si="6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7">C28-C30-C40</f>
        <v>0</v>
      </c>
      <c r="D95" s="96">
        <f t="shared" si="7"/>
        <v>0</v>
      </c>
      <c r="E95" s="96">
        <f t="shared" si="7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8">C30-C31-C32-C33-C34-C35-C36-C37-C38-C39</f>
        <v>0</v>
      </c>
      <c r="D96" s="96">
        <f t="shared" si="8"/>
        <v>0</v>
      </c>
      <c r="E96" s="96">
        <f t="shared" si="8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9">D40-D41-D42-D43</f>
        <v>0</v>
      </c>
      <c r="E97" s="96">
        <f t="shared" si="9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0">C31-C99</f>
        <v>0</v>
      </c>
      <c r="D103" s="96">
        <f t="shared" si="10"/>
        <v>0</v>
      </c>
      <c r="E103" s="96">
        <f t="shared" si="10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0"/>
        <v>0</v>
      </c>
      <c r="D104" s="96">
        <f t="shared" si="10"/>
        <v>0</v>
      </c>
      <c r="E104" s="96">
        <f t="shared" si="10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1">D41-D101</f>
        <v>0</v>
      </c>
      <c r="E105" s="96">
        <f t="shared" si="11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1"/>
        <v>0</v>
      </c>
      <c r="E106" s="96">
        <f t="shared" si="11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2">C29-C31-C32-C33-C34-C41-C42-C43</f>
        <v>0</v>
      </c>
      <c r="D108" s="104">
        <f t="shared" si="12"/>
        <v>0</v>
      </c>
      <c r="E108" s="104">
        <f t="shared" si="12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0</v>
      </c>
      <c r="D110" s="23">
        <f t="shared" ref="D110:E110" si="13">D44-D45-D46</f>
        <v>0</v>
      </c>
      <c r="E110" s="23">
        <f t="shared" si="13"/>
        <v>0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-4.6566128730773926E-10</v>
      </c>
      <c r="D111" s="23">
        <f>D47-D48-D49-D50-D51-D52-D53-D54-D55-D56-D57-D58-D59-D60-D61-D62</f>
        <v>0</v>
      </c>
      <c r="E111" s="23">
        <f>E47-E48-E49-E50-E51-E52-E53-E54-E55-E56-E57-E58-E59-E60-E61-E62</f>
        <v>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0</v>
      </c>
      <c r="D112" s="23">
        <f t="shared" ref="D112:E112" si="14">D44-D47</f>
        <v>0</v>
      </c>
      <c r="E112" s="23">
        <f t="shared" si="14"/>
        <v>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5">D67-0</f>
        <v>0</v>
      </c>
      <c r="E113" s="23">
        <f t="shared" si="15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>
        <f>D62/(D44-D30)*100</f>
        <v>2.5000000436714749</v>
      </c>
      <c r="E114" s="109">
        <f>E62/(E44-E30)*100</f>
        <v>5.0000000266236251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6">D70-D71-D72-D73</f>
        <v>0</v>
      </c>
      <c r="E118" s="23">
        <f t="shared" si="16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0</v>
      </c>
      <c r="D120" s="112">
        <f t="shared" ref="D120:E121" si="17">D72</f>
        <v>0</v>
      </c>
      <c r="E120" s="112">
        <f t="shared" si="17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7"/>
        <v>0</v>
      </c>
      <c r="E121" s="112">
        <f t="shared" si="17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5214751.5599999996</v>
      </c>
      <c r="D123" s="23">
        <f t="shared" ref="D123:E123" si="18">D71-D119</f>
        <v>4397556.33</v>
      </c>
      <c r="E123" s="23">
        <f t="shared" si="18"/>
        <v>4429189.8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19">D49/C49*100-100</f>
        <v>#DIV/0!</v>
      </c>
      <c r="E126" s="116" t="e">
        <f t="shared" si="19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opLeftCell="A16" zoomScale="60" zoomScaleNormal="60" workbookViewId="0">
      <selection activeCell="C9" sqref="C9:E24"/>
    </sheetView>
  </sheetViews>
  <sheetFormatPr defaultRowHeight="15" x14ac:dyDescent="0.2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 x14ac:dyDescent="0.25">
      <c r="A1" s="20"/>
      <c r="B1" s="20"/>
      <c r="C1" s="20"/>
      <c r="D1" s="20"/>
      <c r="E1" s="53" t="s">
        <v>66</v>
      </c>
    </row>
    <row r="2" spans="1:5" ht="59.25" customHeight="1" x14ac:dyDescent="0.25">
      <c r="A2" s="220" t="s">
        <v>197</v>
      </c>
      <c r="B2" s="220"/>
      <c r="C2" s="220"/>
      <c r="D2" s="220"/>
      <c r="E2" s="220"/>
    </row>
    <row r="3" spans="1:5" x14ac:dyDescent="0.25">
      <c r="A3" s="20"/>
      <c r="B3" s="20"/>
      <c r="C3" s="20"/>
      <c r="D3" s="20"/>
      <c r="E3" s="20"/>
    </row>
    <row r="4" spans="1:5" ht="39.75" customHeight="1" x14ac:dyDescent="0.25">
      <c r="A4" s="229" t="s">
        <v>20</v>
      </c>
      <c r="B4" s="230" t="s">
        <v>0</v>
      </c>
      <c r="C4" s="231" t="s">
        <v>95</v>
      </c>
      <c r="D4" s="231"/>
      <c r="E4" s="231"/>
    </row>
    <row r="5" spans="1:5" ht="18.75" x14ac:dyDescent="0.25">
      <c r="A5" s="229"/>
      <c r="B5" s="230"/>
      <c r="C5" s="2" t="s">
        <v>58</v>
      </c>
      <c r="D5" s="2" t="s">
        <v>59</v>
      </c>
      <c r="E5" s="2" t="s">
        <v>78</v>
      </c>
    </row>
    <row r="6" spans="1:5" x14ac:dyDescent="0.2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 x14ac:dyDescent="0.25">
      <c r="A7" s="3" t="s">
        <v>21</v>
      </c>
      <c r="B7" s="38" t="s">
        <v>1</v>
      </c>
      <c r="C7" s="54">
        <f>C8+C28</f>
        <v>0</v>
      </c>
      <c r="D7" s="54">
        <f>D8+D28</f>
        <v>0</v>
      </c>
      <c r="E7" s="54">
        <f>E8+E28</f>
        <v>0</v>
      </c>
    </row>
    <row r="8" spans="1:5" s="6" customFormat="1" ht="18.75" x14ac:dyDescent="0.25">
      <c r="A8" s="5" t="s">
        <v>91</v>
      </c>
      <c r="B8" s="39" t="s">
        <v>62</v>
      </c>
      <c r="C8" s="55">
        <f>C9+C11+C12+C13+C14+C15+C16+C17+C18+C19+C20+C21+C22+C23+C24+C25+C26+C27</f>
        <v>0</v>
      </c>
      <c r="D8" s="55">
        <f t="shared" ref="D8:E8" si="0">D9+D11+D12+D13+D14+D15+D16+D17+D18+D19+D20+D21+D22+D23+D24+D25+D26+D27</f>
        <v>0</v>
      </c>
      <c r="E8" s="55">
        <f t="shared" si="0"/>
        <v>0</v>
      </c>
    </row>
    <row r="9" spans="1:5" ht="18.75" x14ac:dyDescent="0.25">
      <c r="A9" s="33" t="s">
        <v>22</v>
      </c>
      <c r="B9" s="40" t="s">
        <v>9</v>
      </c>
      <c r="C9" s="56"/>
      <c r="D9" s="56"/>
      <c r="E9" s="56"/>
    </row>
    <row r="10" spans="1:5" s="7" customFormat="1" ht="18.75" x14ac:dyDescent="0.25">
      <c r="A10" s="29" t="s">
        <v>23</v>
      </c>
      <c r="B10" s="41" t="s">
        <v>10</v>
      </c>
      <c r="C10" s="59"/>
      <c r="D10" s="59"/>
      <c r="E10" s="59"/>
    </row>
    <row r="11" spans="1:5" ht="18.75" x14ac:dyDescent="0.25">
      <c r="A11" s="28" t="s">
        <v>24</v>
      </c>
      <c r="B11" s="42" t="s">
        <v>11</v>
      </c>
      <c r="C11" s="61"/>
      <c r="D11" s="61"/>
      <c r="E11" s="61"/>
    </row>
    <row r="12" spans="1:5" ht="18.75" x14ac:dyDescent="0.25">
      <c r="A12" s="28" t="s">
        <v>25</v>
      </c>
      <c r="B12" s="42" t="s">
        <v>12</v>
      </c>
      <c r="C12" s="61"/>
      <c r="D12" s="61"/>
      <c r="E12" s="61"/>
    </row>
    <row r="13" spans="1:5" ht="18.75" x14ac:dyDescent="0.25">
      <c r="A13" s="28" t="s">
        <v>26</v>
      </c>
      <c r="B13" s="42" t="s">
        <v>162</v>
      </c>
      <c r="C13" s="61"/>
      <c r="D13" s="61"/>
      <c r="E13" s="61"/>
    </row>
    <row r="14" spans="1:5" ht="18.75" x14ac:dyDescent="0.25">
      <c r="A14" s="28" t="s">
        <v>27</v>
      </c>
      <c r="B14" s="42" t="s">
        <v>13</v>
      </c>
      <c r="C14" s="61"/>
      <c r="D14" s="61"/>
      <c r="E14" s="61"/>
    </row>
    <row r="15" spans="1:5" ht="18.75" x14ac:dyDescent="0.25">
      <c r="A15" s="28" t="s">
        <v>28</v>
      </c>
      <c r="B15" s="42" t="s">
        <v>14</v>
      </c>
      <c r="C15" s="61"/>
      <c r="D15" s="61"/>
      <c r="E15" s="61"/>
    </row>
    <row r="16" spans="1:5" ht="18.75" x14ac:dyDescent="0.25">
      <c r="A16" s="28" t="s">
        <v>29</v>
      </c>
      <c r="B16" s="42" t="s">
        <v>15</v>
      </c>
      <c r="C16" s="61"/>
      <c r="D16" s="61"/>
      <c r="E16" s="61"/>
    </row>
    <row r="17" spans="1:19" ht="18.75" x14ac:dyDescent="0.25">
      <c r="A17" s="28" t="s">
        <v>30</v>
      </c>
      <c r="B17" s="42" t="s">
        <v>16</v>
      </c>
      <c r="C17" s="61"/>
      <c r="D17" s="61"/>
      <c r="E17" s="61"/>
    </row>
    <row r="18" spans="1:19" ht="18.75" x14ac:dyDescent="0.25">
      <c r="A18" s="28" t="s">
        <v>31</v>
      </c>
      <c r="B18" s="42" t="s">
        <v>17</v>
      </c>
      <c r="C18" s="61"/>
      <c r="D18" s="61"/>
      <c r="E18" s="61"/>
    </row>
    <row r="19" spans="1:19" ht="18.75" x14ac:dyDescent="0.25">
      <c r="A19" s="28" t="s">
        <v>32</v>
      </c>
      <c r="B19" s="42" t="s">
        <v>18</v>
      </c>
      <c r="C19" s="61"/>
      <c r="D19" s="61"/>
      <c r="E19" s="61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 x14ac:dyDescent="0.25">
      <c r="A20" s="28" t="s">
        <v>33</v>
      </c>
      <c r="B20" s="42" t="s">
        <v>19</v>
      </c>
      <c r="C20" s="61"/>
      <c r="D20" s="61"/>
      <c r="E20" s="61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 x14ac:dyDescent="0.25">
      <c r="A21" s="28" t="s">
        <v>163</v>
      </c>
      <c r="B21" s="42" t="s">
        <v>164</v>
      </c>
      <c r="C21" s="61"/>
      <c r="D21" s="61"/>
      <c r="E21" s="61"/>
    </row>
    <row r="22" spans="1:19" s="8" customFormat="1" ht="18.75" x14ac:dyDescent="0.25">
      <c r="A22" s="28" t="s">
        <v>165</v>
      </c>
      <c r="B22" s="42" t="s">
        <v>166</v>
      </c>
      <c r="C22" s="61"/>
      <c r="D22" s="62"/>
      <c r="E22" s="63"/>
    </row>
    <row r="23" spans="1:19" s="8" customFormat="1" ht="18.75" x14ac:dyDescent="0.25">
      <c r="A23" s="28" t="s">
        <v>167</v>
      </c>
      <c r="B23" s="42" t="s">
        <v>168</v>
      </c>
      <c r="C23" s="61"/>
      <c r="D23" s="62"/>
      <c r="E23" s="63"/>
    </row>
    <row r="24" spans="1:19" s="8" customFormat="1" ht="18.75" x14ac:dyDescent="0.25">
      <c r="A24" s="28" t="s">
        <v>169</v>
      </c>
      <c r="B24" s="42" t="s">
        <v>170</v>
      </c>
      <c r="C24" s="61"/>
      <c r="D24" s="62"/>
      <c r="E24" s="63"/>
    </row>
    <row r="25" spans="1:19" s="8" customFormat="1" ht="18.75" x14ac:dyDescent="0.25">
      <c r="A25" s="28" t="s">
        <v>171</v>
      </c>
      <c r="B25" s="42" t="s">
        <v>172</v>
      </c>
      <c r="C25" s="61"/>
      <c r="D25" s="62"/>
      <c r="E25" s="63"/>
    </row>
    <row r="26" spans="1:19" s="8" customFormat="1" ht="18.75" x14ac:dyDescent="0.25">
      <c r="A26" s="28" t="s">
        <v>173</v>
      </c>
      <c r="B26" s="42" t="s">
        <v>174</v>
      </c>
      <c r="C26" s="61"/>
      <c r="D26" s="62"/>
      <c r="E26" s="63"/>
    </row>
    <row r="27" spans="1:19" s="8" customFormat="1" ht="18.75" x14ac:dyDescent="0.25">
      <c r="A27" s="28" t="s">
        <v>175</v>
      </c>
      <c r="B27" s="42" t="s">
        <v>176</v>
      </c>
      <c r="C27" s="61"/>
      <c r="D27" s="62"/>
      <c r="E27" s="63"/>
    </row>
    <row r="28" spans="1:19" s="6" customFormat="1" ht="18.75" x14ac:dyDescent="0.25">
      <c r="A28" s="5" t="s">
        <v>92</v>
      </c>
      <c r="B28" s="43" t="s">
        <v>157</v>
      </c>
      <c r="C28" s="64">
        <f>C29</f>
        <v>0</v>
      </c>
      <c r="D28" s="64">
        <f t="shared" ref="D28:E28" si="1">D29</f>
        <v>0</v>
      </c>
      <c r="E28" s="64">
        <f t="shared" si="1"/>
        <v>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 x14ac:dyDescent="0.25">
      <c r="A29" s="9" t="s">
        <v>34</v>
      </c>
      <c r="B29" s="122" t="s">
        <v>156</v>
      </c>
      <c r="C29" s="123">
        <f>C30+C40</f>
        <v>0</v>
      </c>
      <c r="D29" s="123">
        <f t="shared" ref="D29:E29" si="2">D30+D40</f>
        <v>0</v>
      </c>
      <c r="E29" s="123">
        <f t="shared" si="2"/>
        <v>0</v>
      </c>
    </row>
    <row r="30" spans="1:19" s="8" customFormat="1" ht="18.75" x14ac:dyDescent="0.25">
      <c r="A30" s="117" t="s">
        <v>36</v>
      </c>
      <c r="B30" s="118" t="s">
        <v>55</v>
      </c>
      <c r="C30" s="119">
        <f>C31+C32+C33+C34+C35+C36+C37+C38+C39</f>
        <v>0</v>
      </c>
      <c r="D30" s="119">
        <f t="shared" ref="D30:E30" si="3">D31+D32+D33+D34+D35+D36+D37+D38+D39</f>
        <v>0</v>
      </c>
      <c r="E30" s="119">
        <f t="shared" si="3"/>
        <v>0</v>
      </c>
    </row>
    <row r="31" spans="1:19" s="8" customFormat="1" ht="18.75" x14ac:dyDescent="0.25">
      <c r="A31" s="74" t="s">
        <v>50</v>
      </c>
      <c r="B31" s="75" t="s">
        <v>70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 x14ac:dyDescent="0.25">
      <c r="A32" s="74" t="s">
        <v>51</v>
      </c>
      <c r="B32" s="75" t="s">
        <v>71</v>
      </c>
      <c r="C32" s="79"/>
      <c r="D32" s="79"/>
      <c r="E32" s="79"/>
      <c r="G32" s="80"/>
      <c r="H32" s="80"/>
      <c r="I32" s="80"/>
      <c r="J32" s="80"/>
      <c r="K32" s="80"/>
      <c r="L32" s="80"/>
    </row>
    <row r="33" spans="1:22" s="8" customFormat="1" ht="18.75" x14ac:dyDescent="0.25">
      <c r="A33" s="74" t="s">
        <v>52</v>
      </c>
      <c r="B33" s="75" t="s">
        <v>72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 x14ac:dyDescent="0.25">
      <c r="A34" s="74" t="s">
        <v>53</v>
      </c>
      <c r="B34" s="75" t="s">
        <v>73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 x14ac:dyDescent="0.25">
      <c r="A35" s="74" t="s">
        <v>54</v>
      </c>
      <c r="B35" s="75" t="s">
        <v>96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 x14ac:dyDescent="0.25">
      <c r="A36" s="74" t="s">
        <v>75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 x14ac:dyDescent="0.25">
      <c r="A37" s="74" t="s">
        <v>76</v>
      </c>
      <c r="B37" s="124" t="s">
        <v>158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 x14ac:dyDescent="0.25">
      <c r="A38" s="74" t="s">
        <v>77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 x14ac:dyDescent="0.25">
      <c r="A39" s="74" t="s">
        <v>159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 x14ac:dyDescent="0.25">
      <c r="A40" s="12" t="s">
        <v>41</v>
      </c>
      <c r="B40" s="120" t="s">
        <v>56</v>
      </c>
      <c r="C40" s="121">
        <f t="shared" ref="C40:E40" si="4">SUM(C41:C43)</f>
        <v>0</v>
      </c>
      <c r="D40" s="121">
        <f t="shared" si="4"/>
        <v>0</v>
      </c>
      <c r="E40" s="121">
        <f t="shared" si="4"/>
        <v>0</v>
      </c>
    </row>
    <row r="41" spans="1:22" s="8" customFormat="1" ht="18.75" x14ac:dyDescent="0.25">
      <c r="A41" s="30" t="s">
        <v>37</v>
      </c>
      <c r="B41" s="44" t="s">
        <v>2</v>
      </c>
      <c r="C41" s="66"/>
      <c r="D41" s="66"/>
      <c r="E41" s="66"/>
    </row>
    <row r="42" spans="1:22" s="8" customFormat="1" ht="18.75" x14ac:dyDescent="0.25">
      <c r="A42" s="31" t="s">
        <v>38</v>
      </c>
      <c r="B42" s="45" t="s">
        <v>3</v>
      </c>
      <c r="C42" s="60"/>
      <c r="D42" s="67"/>
      <c r="E42" s="60"/>
    </row>
    <row r="43" spans="1:22" s="8" customFormat="1" ht="18.75" x14ac:dyDescent="0.25">
      <c r="A43" s="31" t="s">
        <v>39</v>
      </c>
      <c r="B43" s="45" t="s">
        <v>40</v>
      </c>
      <c r="C43" s="60"/>
      <c r="D43" s="60"/>
      <c r="E43" s="60"/>
    </row>
    <row r="44" spans="1:22" s="4" customFormat="1" ht="18.75" x14ac:dyDescent="0.25">
      <c r="A44" s="3" t="s">
        <v>42</v>
      </c>
      <c r="B44" s="46" t="s">
        <v>4</v>
      </c>
      <c r="C44" s="68">
        <f>C7</f>
        <v>0</v>
      </c>
      <c r="D44" s="68">
        <f t="shared" ref="D44:E44" si="5">D7</f>
        <v>0</v>
      </c>
      <c r="E44" s="68">
        <f t="shared" si="5"/>
        <v>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 x14ac:dyDescent="0.25">
      <c r="A45" s="27" t="s">
        <v>43</v>
      </c>
      <c r="B45" s="47" t="s">
        <v>5</v>
      </c>
      <c r="C45" s="69">
        <f>C47-C46</f>
        <v>17132991.34</v>
      </c>
      <c r="D45" s="69">
        <f t="shared" ref="D45:E45" si="6">D47-D46</f>
        <v>15398820.01</v>
      </c>
      <c r="E45" s="69">
        <f t="shared" si="6"/>
        <v>15172620.01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 x14ac:dyDescent="0.25">
      <c r="A46" s="27" t="s">
        <v>44</v>
      </c>
      <c r="B46" s="47" t="s">
        <v>6</v>
      </c>
      <c r="C46" s="69">
        <v>10000</v>
      </c>
      <c r="D46" s="70"/>
      <c r="E46" s="71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 x14ac:dyDescent="0.25">
      <c r="A47" s="92" t="s">
        <v>97</v>
      </c>
      <c r="B47" s="93" t="s">
        <v>98</v>
      </c>
      <c r="C47" s="94">
        <f>C48+C49+C50+C51+C52+C53+C54+C55+C56+C57+C58+C59+C60+C61</f>
        <v>17142991.34</v>
      </c>
      <c r="D47" s="94">
        <f>D48+D49+D50+D51+D52+D53+D54+D55+D56+D57+D58+D59+D60+D61+D62</f>
        <v>15398820.01</v>
      </c>
      <c r="E47" s="94">
        <f>E48+E49+E50+E51+E52+E53+E54+E55+E56+E57+E58+E59+E60+E61+E62</f>
        <v>15172620.01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 x14ac:dyDescent="0.25">
      <c r="A48" s="31" t="s">
        <v>99</v>
      </c>
      <c r="B48" s="95" t="s">
        <v>100</v>
      </c>
      <c r="C48" s="63">
        <v>6895250</v>
      </c>
      <c r="D48" s="63">
        <v>6895250</v>
      </c>
      <c r="E48" s="63">
        <v>6895250</v>
      </c>
    </row>
    <row r="49" spans="1:19" s="8" customFormat="1" ht="18.75" x14ac:dyDescent="0.25">
      <c r="A49" s="31" t="s">
        <v>101</v>
      </c>
      <c r="B49" s="95" t="s">
        <v>102</v>
      </c>
      <c r="C49" s="63"/>
      <c r="D49" s="63"/>
      <c r="E49" s="63"/>
    </row>
    <row r="50" spans="1:19" s="8" customFormat="1" ht="18.75" x14ac:dyDescent="0.25">
      <c r="A50" s="31" t="s">
        <v>103</v>
      </c>
      <c r="B50" s="95" t="s">
        <v>104</v>
      </c>
      <c r="C50" s="63">
        <v>500000</v>
      </c>
      <c r="D50" s="63">
        <v>500000</v>
      </c>
      <c r="E50" s="63">
        <v>500000</v>
      </c>
    </row>
    <row r="51" spans="1:19" s="8" customFormat="1" ht="18.75" x14ac:dyDescent="0.25">
      <c r="A51" s="31" t="s">
        <v>105</v>
      </c>
      <c r="B51" s="95" t="s">
        <v>106</v>
      </c>
      <c r="C51" s="63">
        <v>1632360</v>
      </c>
      <c r="D51" s="63">
        <v>1598190</v>
      </c>
      <c r="E51" s="63">
        <v>1671050</v>
      </c>
    </row>
    <row r="52" spans="1:19" s="8" customFormat="1" ht="18.75" x14ac:dyDescent="0.25">
      <c r="A52" s="31" t="s">
        <v>107</v>
      </c>
      <c r="B52" s="95" t="s">
        <v>109</v>
      </c>
      <c r="C52" s="63">
        <v>4221050</v>
      </c>
      <c r="D52" s="63">
        <v>2765820</v>
      </c>
      <c r="E52" s="63">
        <v>2466760</v>
      </c>
    </row>
    <row r="53" spans="1:19" s="8" customFormat="1" ht="18.75" x14ac:dyDescent="0.25">
      <c r="A53" s="31" t="s">
        <v>108</v>
      </c>
      <c r="B53" s="95" t="s">
        <v>111</v>
      </c>
      <c r="C53" s="63"/>
      <c r="D53" s="63"/>
      <c r="E53" s="63"/>
    </row>
    <row r="54" spans="1:19" s="8" customFormat="1" ht="18.75" x14ac:dyDescent="0.25">
      <c r="A54" s="31" t="s">
        <v>110</v>
      </c>
      <c r="B54" s="95" t="s">
        <v>113</v>
      </c>
      <c r="C54" s="63">
        <v>254780</v>
      </c>
      <c r="D54" s="63">
        <v>0</v>
      </c>
      <c r="E54" s="63">
        <v>0</v>
      </c>
    </row>
    <row r="55" spans="1:19" s="8" customFormat="1" ht="18.75" x14ac:dyDescent="0.25">
      <c r="A55" s="31" t="s">
        <v>112</v>
      </c>
      <c r="B55" s="95" t="s">
        <v>115</v>
      </c>
      <c r="C55" s="63">
        <f>6290620-3731708.66</f>
        <v>2558911.34</v>
      </c>
      <c r="D55" s="63">
        <v>2558920</v>
      </c>
      <c r="E55" s="63">
        <v>2558920</v>
      </c>
    </row>
    <row r="56" spans="1:19" s="8" customFormat="1" ht="18.75" x14ac:dyDescent="0.25">
      <c r="A56" s="31" t="s">
        <v>114</v>
      </c>
      <c r="B56" s="95" t="s">
        <v>117</v>
      </c>
      <c r="C56" s="63"/>
      <c r="D56" s="63"/>
      <c r="E56" s="63"/>
    </row>
    <row r="57" spans="1:19" s="8" customFormat="1" ht="18.75" x14ac:dyDescent="0.25">
      <c r="A57" s="31" t="s">
        <v>116</v>
      </c>
      <c r="B57" s="95" t="s">
        <v>119</v>
      </c>
      <c r="C57" s="63">
        <v>83180</v>
      </c>
      <c r="D57" s="63">
        <v>83180</v>
      </c>
      <c r="E57" s="63">
        <v>83180</v>
      </c>
    </row>
    <row r="58" spans="1:19" s="8" customFormat="1" ht="18.75" x14ac:dyDescent="0.25">
      <c r="A58" s="31" t="s">
        <v>118</v>
      </c>
      <c r="B58" s="95" t="s">
        <v>121</v>
      </c>
      <c r="C58" s="63">
        <v>997460</v>
      </c>
      <c r="D58" s="63">
        <v>997460</v>
      </c>
      <c r="E58" s="63">
        <v>997460</v>
      </c>
    </row>
    <row r="59" spans="1:19" s="8" customFormat="1" ht="18.75" x14ac:dyDescent="0.25">
      <c r="A59" s="31" t="s">
        <v>120</v>
      </c>
      <c r="B59" s="95" t="s">
        <v>123</v>
      </c>
      <c r="C59" s="63"/>
      <c r="D59" s="63"/>
      <c r="E59" s="63"/>
    </row>
    <row r="60" spans="1:19" s="8" customFormat="1" ht="18.75" x14ac:dyDescent="0.25">
      <c r="A60" s="31" t="s">
        <v>122</v>
      </c>
      <c r="B60" s="95" t="s">
        <v>125</v>
      </c>
      <c r="C60" s="63"/>
      <c r="D60" s="63"/>
      <c r="E60" s="63"/>
    </row>
    <row r="61" spans="1:19" s="8" customFormat="1" ht="37.5" x14ac:dyDescent="0.25">
      <c r="A61" s="31" t="s">
        <v>124</v>
      </c>
      <c r="B61" s="95" t="s">
        <v>127</v>
      </c>
      <c r="C61" s="63"/>
      <c r="D61" s="63"/>
      <c r="E61" s="63"/>
    </row>
    <row r="62" spans="1:19" s="8" customFormat="1" ht="18.75" x14ac:dyDescent="0.25">
      <c r="A62" s="31" t="s">
        <v>126</v>
      </c>
      <c r="B62" s="95" t="s">
        <v>128</v>
      </c>
      <c r="C62" s="63" t="s">
        <v>61</v>
      </c>
      <c r="D62" s="63">
        <f>D44*2.5%+0.01</f>
        <v>0.01</v>
      </c>
      <c r="E62" s="63">
        <f>E44*5%+0.01</f>
        <v>0.01</v>
      </c>
    </row>
    <row r="63" spans="1:19" s="4" customFormat="1" ht="37.5" x14ac:dyDescent="0.25">
      <c r="A63" s="3" t="s">
        <v>45</v>
      </c>
      <c r="B63" s="48" t="s">
        <v>7</v>
      </c>
      <c r="C63" s="68">
        <f>C7-C44</f>
        <v>0</v>
      </c>
      <c r="D63" s="68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 x14ac:dyDescent="0.25">
      <c r="A64" s="32" t="s">
        <v>46</v>
      </c>
      <c r="B64" s="81" t="s">
        <v>79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 x14ac:dyDescent="0.25">
      <c r="A65" s="31" t="s">
        <v>57</v>
      </c>
      <c r="B65" s="82" t="s">
        <v>80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 x14ac:dyDescent="0.25">
      <c r="A66" s="31" t="s">
        <v>82</v>
      </c>
      <c r="B66" s="82" t="s">
        <v>81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 x14ac:dyDescent="0.25">
      <c r="A67" s="15" t="s">
        <v>47</v>
      </c>
      <c r="B67" s="87" t="s">
        <v>87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 x14ac:dyDescent="0.25">
      <c r="A68" s="15" t="s">
        <v>86</v>
      </c>
      <c r="B68" s="49" t="s">
        <v>67</v>
      </c>
      <c r="C68" s="72" t="e">
        <f>(C64/(C8-C10))*100</f>
        <v>#DIV/0!</v>
      </c>
      <c r="D68" s="65" t="e">
        <f>(D64/(D8-D10))*100</f>
        <v>#DIV/0!</v>
      </c>
      <c r="E68" s="73" t="e">
        <f>(E64/(E8-E10))*100</f>
        <v>#DIV/0!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 x14ac:dyDescent="0.25">
      <c r="A69" s="9" t="s">
        <v>83</v>
      </c>
      <c r="B69" s="83" t="s">
        <v>85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 x14ac:dyDescent="0.25">
      <c r="A70" s="88" t="s">
        <v>84</v>
      </c>
      <c r="B70" s="89" t="s">
        <v>68</v>
      </c>
      <c r="C70" s="90">
        <f>C71+C72+C73</f>
        <v>-17142991.34</v>
      </c>
      <c r="D70" s="90">
        <f t="shared" ref="D70:E70" si="7">D71+D72+D73</f>
        <v>0</v>
      </c>
      <c r="E70" s="90">
        <f t="shared" si="7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 x14ac:dyDescent="0.25">
      <c r="A71" s="31" t="s">
        <v>88</v>
      </c>
      <c r="B71" s="84" t="s">
        <v>93</v>
      </c>
      <c r="C71" s="59"/>
      <c r="D71" s="60"/>
      <c r="E71" s="60"/>
    </row>
    <row r="72" spans="1:25" s="8" customFormat="1" ht="56.25" x14ac:dyDescent="0.25">
      <c r="A72" s="31" t="s">
        <v>89</v>
      </c>
      <c r="B72" s="84" t="s">
        <v>74</v>
      </c>
      <c r="C72" s="59">
        <f>C44-C47</f>
        <v>-17142991.34</v>
      </c>
      <c r="D72" s="85"/>
      <c r="E72" s="60"/>
    </row>
    <row r="73" spans="1:25" s="8" customFormat="1" ht="37.5" x14ac:dyDescent="0.25">
      <c r="A73" s="31" t="s">
        <v>90</v>
      </c>
      <c r="B73" s="86" t="s">
        <v>69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 x14ac:dyDescent="0.25">
      <c r="B74" s="19"/>
      <c r="C74" s="19"/>
      <c r="D74" s="19"/>
      <c r="E74" s="19"/>
    </row>
    <row r="75" spans="1:25" ht="18.75" x14ac:dyDescent="0.25">
      <c r="A75" s="50"/>
      <c r="B75" s="91" t="s">
        <v>189</v>
      </c>
      <c r="C75" s="91"/>
      <c r="D75" s="19"/>
      <c r="E75" s="19"/>
    </row>
    <row r="76" spans="1:25" ht="18.75" x14ac:dyDescent="0.25">
      <c r="A76" s="50"/>
      <c r="B76" s="51"/>
      <c r="C76" s="52" t="s">
        <v>65</v>
      </c>
      <c r="D76" s="19"/>
      <c r="E76" s="19"/>
    </row>
    <row r="77" spans="1:25" ht="18.75" x14ac:dyDescent="0.25">
      <c r="A77" s="50"/>
      <c r="B77" s="228" t="s">
        <v>190</v>
      </c>
      <c r="C77" s="228"/>
      <c r="D77" s="19"/>
      <c r="E77" s="19"/>
    </row>
    <row r="78" spans="1:25" ht="18.75" x14ac:dyDescent="0.25">
      <c r="B78" s="19"/>
      <c r="C78" s="19"/>
      <c r="D78" s="19"/>
      <c r="E78" s="19"/>
    </row>
    <row r="79" spans="1:25" ht="18.75" x14ac:dyDescent="0.25">
      <c r="B79" s="19"/>
      <c r="C79" s="19"/>
      <c r="D79" s="19"/>
      <c r="E79" s="19"/>
    </row>
    <row r="80" spans="1:25" ht="18.75" x14ac:dyDescent="0.25">
      <c r="B80" s="19"/>
      <c r="C80" s="19"/>
      <c r="D80" s="19"/>
      <c r="E80" s="19"/>
    </row>
    <row r="81" spans="2:15" ht="18.75" x14ac:dyDescent="0.25">
      <c r="B81" s="19"/>
      <c r="C81" s="19"/>
      <c r="D81" s="19"/>
      <c r="E81" s="19"/>
    </row>
    <row r="82" spans="2:15" ht="18.75" x14ac:dyDescent="0.25">
      <c r="B82" s="19"/>
      <c r="C82" s="19"/>
      <c r="D82" s="19"/>
      <c r="E82" s="19"/>
    </row>
    <row r="83" spans="2:15" ht="18.75" x14ac:dyDescent="0.25">
      <c r="B83" s="19"/>
      <c r="C83" s="19"/>
      <c r="D83" s="19"/>
      <c r="E83" s="19"/>
    </row>
    <row r="84" spans="2:15" ht="18.75" x14ac:dyDescent="0.25">
      <c r="B84" s="19"/>
      <c r="C84" s="19"/>
      <c r="D84" s="19"/>
      <c r="E84" s="19"/>
    </row>
    <row r="85" spans="2:15" ht="18.75" x14ac:dyDescent="0.25">
      <c r="B85" s="19"/>
      <c r="C85" s="19"/>
      <c r="D85" s="19"/>
      <c r="E85" s="19"/>
    </row>
    <row r="86" spans="2:15" ht="18.75" x14ac:dyDescent="0.25">
      <c r="B86" s="19"/>
      <c r="C86" s="19"/>
      <c r="D86" s="19"/>
      <c r="E86" s="19"/>
    </row>
    <row r="87" spans="2:15" ht="18.75" x14ac:dyDescent="0.25">
      <c r="B87" s="19"/>
      <c r="C87" s="19"/>
      <c r="D87" s="19"/>
      <c r="E87" s="19"/>
    </row>
    <row r="88" spans="2:15" ht="18.75" x14ac:dyDescent="0.25">
      <c r="B88" s="19"/>
      <c r="C88" s="19"/>
      <c r="D88" s="19"/>
      <c r="E88" s="19"/>
    </row>
    <row r="89" spans="2:15" ht="18.75" x14ac:dyDescent="0.25">
      <c r="B89" s="19"/>
      <c r="C89" s="19"/>
      <c r="D89" s="19"/>
      <c r="E89" s="19"/>
    </row>
    <row r="90" spans="2:15" s="24" customFormat="1" x14ac:dyDescent="0.25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 x14ac:dyDescent="0.25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 x14ac:dyDescent="0.25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 x14ac:dyDescent="0.25">
      <c r="B93" s="25" t="s">
        <v>129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 x14ac:dyDescent="0.25">
      <c r="B94" s="97" t="s">
        <v>130</v>
      </c>
      <c r="C94" s="96">
        <f>C8-C9-C11-C12-C14-C15-C16-C17-C18-C19-C20-C21-C22-C23-C24-C25-C26-C27</f>
        <v>0</v>
      </c>
      <c r="D94" s="96">
        <f t="shared" ref="D94:E94" si="8">D8-D9-D11-D12-D14-D15-D16-D17-D18-D19-D20-D21-D22-D23-D24-D25-D26-D27</f>
        <v>0</v>
      </c>
      <c r="E94" s="96">
        <f t="shared" si="8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 x14ac:dyDescent="0.25">
      <c r="B95" s="97" t="s">
        <v>131</v>
      </c>
      <c r="C95" s="96">
        <f t="shared" ref="C95:E95" si="9">C28-C30-C40</f>
        <v>0</v>
      </c>
      <c r="D95" s="96">
        <f t="shared" si="9"/>
        <v>0</v>
      </c>
      <c r="E95" s="96">
        <f t="shared" si="9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 x14ac:dyDescent="0.25">
      <c r="B96" s="25" t="s">
        <v>132</v>
      </c>
      <c r="C96" s="96">
        <f t="shared" ref="C96:E96" si="10">C30-C31-C32-C33-C34-C35-C36-C37-C38-C39</f>
        <v>0</v>
      </c>
      <c r="D96" s="96">
        <f t="shared" si="10"/>
        <v>0</v>
      </c>
      <c r="E96" s="96">
        <f t="shared" si="10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 x14ac:dyDescent="0.25">
      <c r="B97" s="25" t="s">
        <v>133</v>
      </c>
      <c r="C97" s="96">
        <f>C40-C41-C42-C43</f>
        <v>0</v>
      </c>
      <c r="D97" s="96">
        <f t="shared" ref="D97:E97" si="11">D40-D41-D42-D43</f>
        <v>0</v>
      </c>
      <c r="E97" s="96">
        <f t="shared" si="11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 x14ac:dyDescent="0.25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 x14ac:dyDescent="0.2">
      <c r="B99" s="99" t="s">
        <v>160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 x14ac:dyDescent="0.2">
      <c r="B100" s="99" t="s">
        <v>134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 x14ac:dyDescent="0.2">
      <c r="B101" s="99" t="s">
        <v>135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 x14ac:dyDescent="0.2">
      <c r="B102" s="99" t="s">
        <v>136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 x14ac:dyDescent="0.25">
      <c r="B103" s="97" t="s">
        <v>161</v>
      </c>
      <c r="C103" s="96">
        <f t="shared" ref="C103:E104" si="12">C31-C99</f>
        <v>0</v>
      </c>
      <c r="D103" s="96">
        <f t="shared" si="12"/>
        <v>0</v>
      </c>
      <c r="E103" s="96">
        <f t="shared" si="12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 x14ac:dyDescent="0.25">
      <c r="B104" s="97" t="s">
        <v>137</v>
      </c>
      <c r="C104" s="96">
        <f t="shared" si="12"/>
        <v>0</v>
      </c>
      <c r="D104" s="96">
        <f t="shared" si="12"/>
        <v>0</v>
      </c>
      <c r="E104" s="96">
        <f t="shared" si="12"/>
        <v>0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 x14ac:dyDescent="0.25">
      <c r="B105" s="97" t="s">
        <v>138</v>
      </c>
      <c r="C105" s="96">
        <f>C41-C101</f>
        <v>0</v>
      </c>
      <c r="D105" s="96">
        <f t="shared" ref="D105:E106" si="13">D41-D101</f>
        <v>0</v>
      </c>
      <c r="E105" s="96">
        <f t="shared" si="13"/>
        <v>0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 x14ac:dyDescent="0.25">
      <c r="B106" s="97" t="s">
        <v>139</v>
      </c>
      <c r="C106" s="96">
        <f>C42-C102</f>
        <v>0</v>
      </c>
      <c r="D106" s="96">
        <f t="shared" si="13"/>
        <v>0</v>
      </c>
      <c r="E106" s="96">
        <f t="shared" si="13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 x14ac:dyDescent="0.25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 x14ac:dyDescent="0.25">
      <c r="B108" s="103" t="s">
        <v>140</v>
      </c>
      <c r="C108" s="104">
        <f t="shared" ref="C108:E108" si="14">C29-C31-C32-C33-C34-C41-C42-C43</f>
        <v>0</v>
      </c>
      <c r="D108" s="104">
        <f t="shared" si="14"/>
        <v>0</v>
      </c>
      <c r="E108" s="104">
        <f t="shared" si="14"/>
        <v>0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 x14ac:dyDescent="0.25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 x14ac:dyDescent="0.25">
      <c r="B110" s="105" t="s">
        <v>141</v>
      </c>
      <c r="C110" s="23">
        <f>C44-C45-C46</f>
        <v>-17142991.34</v>
      </c>
      <c r="D110" s="23">
        <f t="shared" ref="D110:E110" si="15">D44-D45-D46</f>
        <v>-15398820.01</v>
      </c>
      <c r="E110" s="23">
        <f t="shared" si="15"/>
        <v>-15172620.01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 x14ac:dyDescent="0.25">
      <c r="B111" s="105" t="s">
        <v>142</v>
      </c>
      <c r="C111" s="23">
        <f>C47-C48-C49-C50-C51-C52-C53-C54-C55-C56-C57-C58-C59-C60-C61</f>
        <v>0</v>
      </c>
      <c r="D111" s="23">
        <f>D47-D48-D49-D50-D51-D52-D53-D54-D55-D56-D57-D58-D59-D60-D61-D62</f>
        <v>-2.2351741811588166E-10</v>
      </c>
      <c r="E111" s="23">
        <f>E47-E48-E49-E50-E51-E52-E53-E54-E55-E56-E57-E58-E59-E60-E61-E62</f>
        <v>-2.2351741811588166E-10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 x14ac:dyDescent="0.25">
      <c r="B112" s="105" t="s">
        <v>143</v>
      </c>
      <c r="C112" s="23">
        <f>C44-C47</f>
        <v>-17142991.34</v>
      </c>
      <c r="D112" s="23">
        <f t="shared" ref="D112:E112" si="16">D44-D47</f>
        <v>-15398820.01</v>
      </c>
      <c r="E112" s="23">
        <f t="shared" si="16"/>
        <v>-15172620.01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 x14ac:dyDescent="0.25">
      <c r="B113" s="106" t="s">
        <v>144</v>
      </c>
      <c r="C113" s="23">
        <f>C67-0</f>
        <v>0</v>
      </c>
      <c r="D113" s="23">
        <f t="shared" ref="D113:E113" si="17">D67-0</f>
        <v>0</v>
      </c>
      <c r="E113" s="23">
        <f t="shared" si="17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 x14ac:dyDescent="0.25">
      <c r="B114" s="108" t="s">
        <v>145</v>
      </c>
      <c r="C114" s="109"/>
      <c r="D114" s="109" t="e">
        <f>D62/(D44-D30)*100</f>
        <v>#DIV/0!</v>
      </c>
      <c r="E114" s="109" t="e">
        <f>E62/(E44-E30)*100</f>
        <v>#DIV/0!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 x14ac:dyDescent="0.25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 x14ac:dyDescent="0.25">
      <c r="B116" s="110" t="s">
        <v>146</v>
      </c>
      <c r="C116" s="23">
        <f>C7-C44-C63</f>
        <v>0</v>
      </c>
      <c r="D116" s="23">
        <f>D7-D44-D63</f>
        <v>0</v>
      </c>
      <c r="E116" s="23">
        <f>E7-E44-E63</f>
        <v>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 x14ac:dyDescent="0.25">
      <c r="B117" s="36" t="s">
        <v>147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 x14ac:dyDescent="0.25">
      <c r="B118" s="25" t="s">
        <v>148</v>
      </c>
      <c r="C118" s="23">
        <f>C70-C71-C72-C73</f>
        <v>0</v>
      </c>
      <c r="D118" s="23">
        <f t="shared" ref="D118:E118" si="18">D70-D71-D72-D73</f>
        <v>0</v>
      </c>
      <c r="E118" s="23">
        <f t="shared" si="18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 x14ac:dyDescent="0.2">
      <c r="B119" s="99" t="s">
        <v>149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 x14ac:dyDescent="0.25">
      <c r="B120" s="113" t="s">
        <v>150</v>
      </c>
      <c r="C120" s="112">
        <f>C72</f>
        <v>-17142991.34</v>
      </c>
      <c r="D120" s="112">
        <f t="shared" ref="D120:E121" si="19">D72</f>
        <v>0</v>
      </c>
      <c r="E120" s="112">
        <f t="shared" si="19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 x14ac:dyDescent="0.25">
      <c r="B121" s="113" t="s">
        <v>151</v>
      </c>
      <c r="C121" s="112">
        <f>C73</f>
        <v>0</v>
      </c>
      <c r="D121" s="112">
        <f t="shared" si="19"/>
        <v>0</v>
      </c>
      <c r="E121" s="112">
        <f t="shared" si="19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 x14ac:dyDescent="0.25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 x14ac:dyDescent="0.25">
      <c r="B123" s="25" t="s">
        <v>152</v>
      </c>
      <c r="C123" s="23">
        <f>C71-C119</f>
        <v>0</v>
      </c>
      <c r="D123" s="23">
        <f t="shared" ref="D123:E123" si="20">D71-D119</f>
        <v>0</v>
      </c>
      <c r="E123" s="23">
        <f t="shared" si="20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 x14ac:dyDescent="0.25">
      <c r="B124" s="25" t="s">
        <v>153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 x14ac:dyDescent="0.25">
      <c r="B125" s="25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 x14ac:dyDescent="0.3">
      <c r="B126" s="114" t="s">
        <v>155</v>
      </c>
      <c r="C126" s="115" t="s">
        <v>61</v>
      </c>
      <c r="D126" s="116" t="e">
        <f t="shared" ref="D126:E126" si="21">D49/C49*100-100</f>
        <v>#DIV/0!</v>
      </c>
      <c r="E126" s="116" t="e">
        <f t="shared" si="21"/>
        <v>#DIV/0!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 x14ac:dyDescent="0.25"/>
  </sheetData>
  <mergeCells count="5">
    <mergeCell ref="A2:E2"/>
    <mergeCell ref="A4:A5"/>
    <mergeCell ref="B4:B5"/>
    <mergeCell ref="C4:E4"/>
    <mergeCell ref="B77:C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свод</vt:lpstr>
      <vt:lpstr>район</vt:lpstr>
      <vt:lpstr>601</vt:lpstr>
      <vt:lpstr>602</vt:lpstr>
      <vt:lpstr>603</vt:lpstr>
      <vt:lpstr>604</vt:lpstr>
      <vt:lpstr>605</vt:lpstr>
      <vt:lpstr>606</vt:lpstr>
      <vt:lpstr>607</vt:lpstr>
      <vt:lpstr>608</vt:lpstr>
      <vt:lpstr>'602'!Область_печати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bagrii Багрий В И</dc:creator>
  <cp:lastModifiedBy>Воробьева</cp:lastModifiedBy>
  <cp:lastPrinted>2024-09-30T04:39:12Z</cp:lastPrinted>
  <dcterms:created xsi:type="dcterms:W3CDTF">2006-09-28T05:33:49Z</dcterms:created>
  <dcterms:modified xsi:type="dcterms:W3CDTF">2024-11-13T08:35:03Z</dcterms:modified>
</cp:coreProperties>
</file>