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ВСЕМ\2022-2024\ПРОЕКТ бюджета 2022-2024 в МФ\документы к проекту решения\Выравнивание\Новый расчет выравн из МФ 2022-2024\"/>
    </mc:Choice>
  </mc:AlternateContent>
  <bookViews>
    <workbookView xWindow="0" yWindow="0" windowWidth="23040" windowHeight="9420" tabRatio="427"/>
  </bookViews>
  <sheets>
    <sheet name="Исходные данные" sheetId="1" r:id="rId1"/>
    <sheet name="Расчет КРП" sheetId="2" r:id="rId2"/>
    <sheet name="Расчет дотации2024" sheetId="4" r:id="rId3"/>
  </sheets>
  <externalReferences>
    <externalReference r:id="rId4"/>
  </externalReferences>
  <definedNames>
    <definedName name="___xlfn_COUNTIFS">#N/A</definedName>
    <definedName name="__xlfn_COUNTIFS">NA()</definedName>
    <definedName name="_xlnm._FilterDatabase" localSheetId="2" hidden="1">'Расчет дотации2024'!#REF!</definedName>
    <definedName name="Excel_BuiltIn__FilterDatabase" localSheetId="2">'Расчет дотации2024'!#REF!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данные'!$B$9:$G$18</definedName>
    <definedName name="Z_287B6B75_F102_4A35_99B4_72102AA4A344__wvu_FilterData" localSheetId="2">'Расчет дотации2024'!#REF!</definedName>
    <definedName name="Z_287B6B75_F102_4A35_99B4_72102AA4A344__wvu_PrintArea" localSheetId="0">'Исходные данные'!$B$1:$G$18</definedName>
    <definedName name="Z_287B6B75_F102_4A35_99B4_72102AA4A344__wvu_PrintArea" localSheetId="2">'Расчет дотации2024'!#REF!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дотации2024'!$A:$A</definedName>
    <definedName name="_xlnm.Print_Titles" localSheetId="0">'Исходные данные'!$6:$9</definedName>
    <definedName name="_xlnm.Print_Titles" localSheetId="2">'Расчет дотации2024'!$A:$A</definedName>
    <definedName name="_xlnm.Print_Area" localSheetId="0">'Исходные данные'!$A$1:$J$20</definedName>
    <definedName name="_xlnm.Print_Area" localSheetId="2">'Расчет дотации2024'!#REF!</definedName>
  </definedNames>
  <calcPr calcId="152511"/>
</workbook>
</file>

<file path=xl/calcChain.xml><?xml version="1.0" encoding="utf-8"?>
<calcChain xmlns="http://schemas.openxmlformats.org/spreadsheetml/2006/main">
  <c r="H10" i="4" l="1"/>
  <c r="G10" i="4" l="1"/>
  <c r="E14" i="2" l="1"/>
  <c r="D14" i="2"/>
  <c r="C14" i="2"/>
  <c r="E13" i="2"/>
  <c r="D13" i="2"/>
  <c r="C13" i="2"/>
  <c r="E12" i="2"/>
  <c r="D12" i="2"/>
  <c r="C12" i="2"/>
  <c r="E11" i="2"/>
  <c r="D11" i="2"/>
  <c r="C11" i="2"/>
  <c r="E10" i="2"/>
  <c r="D10" i="2"/>
  <c r="C10" i="2"/>
  <c r="E9" i="2"/>
  <c r="D9" i="2"/>
  <c r="C9" i="2"/>
  <c r="E8" i="2"/>
  <c r="D8" i="2"/>
  <c r="C8" i="2"/>
  <c r="E7" i="2"/>
  <c r="D7" i="2"/>
  <c r="C7" i="2"/>
  <c r="B6" i="2"/>
  <c r="C6" i="2" s="1"/>
  <c r="D6" i="2" s="1"/>
  <c r="E6" i="2" s="1"/>
  <c r="F6" i="2" s="1"/>
  <c r="G20" i="1"/>
  <c r="F20" i="1"/>
  <c r="C20" i="1"/>
  <c r="G19" i="1"/>
  <c r="F19" i="1"/>
  <c r="E19" i="1"/>
  <c r="E20" i="1" s="1"/>
  <c r="D19" i="1"/>
  <c r="D20" i="1" s="1"/>
  <c r="C19" i="1"/>
  <c r="K18" i="1"/>
  <c r="K17" i="1"/>
  <c r="K16" i="1"/>
  <c r="K15" i="1"/>
  <c r="K14" i="1"/>
  <c r="K13" i="1"/>
  <c r="K12" i="1"/>
  <c r="K11" i="1"/>
  <c r="F10" i="2" l="1"/>
  <c r="F7" i="2"/>
  <c r="F11" i="2"/>
  <c r="F13" i="2"/>
  <c r="F8" i="2"/>
  <c r="I10" i="4" s="1"/>
  <c r="F9" i="2"/>
  <c r="I11" i="4" s="1"/>
  <c r="F12" i="2"/>
  <c r="I14" i="4" s="1"/>
  <c r="F14" i="2"/>
  <c r="I16" i="4" s="1"/>
  <c r="I12" i="4"/>
  <c r="I13" i="4"/>
  <c r="I15" i="4"/>
  <c r="H11" i="4"/>
  <c r="H12" i="4"/>
  <c r="H13" i="4"/>
  <c r="H14" i="4"/>
  <c r="H15" i="4"/>
  <c r="H16" i="4"/>
  <c r="G11" i="4"/>
  <c r="G12" i="4"/>
  <c r="G13" i="4"/>
  <c r="G14" i="4"/>
  <c r="G15" i="4"/>
  <c r="G16" i="4"/>
  <c r="I9" i="4" l="1"/>
  <c r="D17" i="4" l="1"/>
  <c r="E17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7" i="4" s="1"/>
  <c r="H9" i="4"/>
  <c r="H17" i="4" l="1"/>
  <c r="L7" i="4"/>
  <c r="F17" i="4"/>
  <c r="M7" i="4" l="1"/>
  <c r="N7" i="4" s="1"/>
  <c r="O7" i="4" s="1"/>
  <c r="P7" i="4" s="1"/>
  <c r="Q7" i="4" s="1"/>
  <c r="R7" i="4" s="1"/>
  <c r="S7" i="4" s="1"/>
  <c r="J17" i="4"/>
  <c r="K9" i="4"/>
  <c r="K14" i="4"/>
  <c r="K12" i="4"/>
  <c r="K15" i="4"/>
  <c r="K11" i="4"/>
  <c r="K10" i="4"/>
  <c r="K16" i="4"/>
  <c r="K13" i="4"/>
  <c r="L11" i="4"/>
  <c r="L15" i="4"/>
  <c r="L13" i="4"/>
  <c r="L10" i="4"/>
  <c r="L12" i="4"/>
  <c r="L14" i="4"/>
  <c r="L16" i="4"/>
  <c r="L9" i="4"/>
  <c r="L17" i="4" l="1"/>
  <c r="T7" i="4"/>
  <c r="U7" i="4" s="1"/>
  <c r="V7" i="4" s="1"/>
  <c r="W7" i="4" s="1"/>
  <c r="X7" i="4" s="1"/>
  <c r="Y7" i="4" s="1"/>
  <c r="M10" i="4"/>
  <c r="M16" i="4"/>
  <c r="M14" i="4"/>
  <c r="M13" i="4"/>
  <c r="M11" i="4"/>
  <c r="M9" i="4"/>
  <c r="M12" i="4"/>
  <c r="M15" i="4"/>
  <c r="N17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0" i="4"/>
  <c r="P10" i="4" s="1"/>
  <c r="O9" i="4"/>
  <c r="P9" i="4" s="1"/>
  <c r="P17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1" i="4"/>
  <c r="Q15" i="4"/>
  <c r="Q14" i="4"/>
  <c r="Q13" i="4"/>
  <c r="Q12" i="4"/>
  <c r="Q16" i="4"/>
  <c r="Q9" i="4"/>
  <c r="Q10" i="4"/>
  <c r="Q17" i="4" l="1"/>
  <c r="AX7" i="4"/>
  <c r="AY7" i="4" s="1"/>
  <c r="AZ7" i="4" s="1"/>
  <c r="BA7" i="4" s="1"/>
  <c r="BB7" i="4" s="1"/>
  <c r="BC7" i="4" s="1"/>
  <c r="T9" i="4"/>
  <c r="T12" i="4"/>
  <c r="T11" i="4"/>
  <c r="T16" i="4"/>
  <c r="T15" i="4"/>
  <c r="T10" i="4"/>
  <c r="T13" i="4"/>
  <c r="T14" i="4"/>
  <c r="S17" i="4" l="1"/>
  <c r="BD7" i="4"/>
  <c r="BE7" i="4" s="1"/>
  <c r="BF7" i="4" s="1"/>
  <c r="BG7" i="4" s="1"/>
  <c r="BH7" i="4" s="1"/>
  <c r="BI7" i="4" s="1"/>
  <c r="R17" i="4"/>
  <c r="BJ7" i="4" l="1"/>
  <c r="BK7" i="4" s="1"/>
  <c r="BL7" i="4" s="1"/>
  <c r="BM7" i="4" s="1"/>
  <c r="BN7" i="4" s="1"/>
  <c r="BO7" i="4" s="1"/>
  <c r="BP7" i="4" l="1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6" i="4"/>
  <c r="V16" i="4" s="1"/>
  <c r="U10" i="4"/>
  <c r="V10" i="4" s="1"/>
  <c r="U9" i="4"/>
  <c r="V9" i="4" l="1"/>
  <c r="V17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6" i="4"/>
  <c r="W14" i="4"/>
  <c r="W12" i="4"/>
  <c r="W15" i="4"/>
  <c r="W13" i="4"/>
  <c r="W11" i="4"/>
  <c r="W9" i="4"/>
  <c r="W10" i="4"/>
  <c r="W17" i="4" l="1"/>
  <c r="Z9" i="4"/>
  <c r="Z13" i="4"/>
  <c r="Z12" i="4"/>
  <c r="Z11" i="4"/>
  <c r="Z16" i="4"/>
  <c r="Z10" i="4"/>
  <c r="Z15" i="4"/>
  <c r="Z14" i="4"/>
  <c r="Y17" i="4" l="1"/>
  <c r="X17" i="4"/>
  <c r="AA9" i="4" l="1"/>
  <c r="AB9" i="4" s="1"/>
  <c r="AA15" i="4"/>
  <c r="AB15" i="4" s="1"/>
  <c r="AA10" i="4"/>
  <c r="AB10" i="4" s="1"/>
  <c r="AA12" i="4"/>
  <c r="AB12" i="4" s="1"/>
  <c r="AA13" i="4"/>
  <c r="AB13" i="4" s="1"/>
  <c r="AA16" i="4"/>
  <c r="AB16" i="4" s="1"/>
  <c r="AA11" i="4"/>
  <c r="AB11" i="4" s="1"/>
  <c r="AA14" i="4"/>
  <c r="AB14" i="4" s="1"/>
  <c r="AB17" i="4" l="1"/>
  <c r="AC14" i="4" l="1"/>
  <c r="AC12" i="4"/>
  <c r="AC15" i="4"/>
  <c r="AC9" i="4"/>
  <c r="AC13" i="4"/>
  <c r="AC10" i="4"/>
  <c r="AC16" i="4"/>
  <c r="AC11" i="4"/>
  <c r="AC17" i="4" l="1"/>
  <c r="AF16" i="4"/>
  <c r="AF9" i="4"/>
  <c r="AF12" i="4"/>
  <c r="AF15" i="4"/>
  <c r="AF10" i="4"/>
  <c r="AF11" i="4"/>
  <c r="AF13" i="4"/>
  <c r="AF14" i="4"/>
  <c r="AE17" i="4" l="1"/>
  <c r="AD17" i="4"/>
  <c r="AG10" i="4" l="1"/>
  <c r="AH10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7" i="4" l="1"/>
  <c r="AI14" i="4" l="1"/>
  <c r="AI15" i="4"/>
  <c r="AI16" i="4"/>
  <c r="AI13" i="4"/>
  <c r="AI10" i="4"/>
  <c r="AI9" i="4"/>
  <c r="AI11" i="4"/>
  <c r="AI12" i="4"/>
  <c r="AI17" i="4" l="1"/>
  <c r="AL12" i="4"/>
  <c r="AL13" i="4"/>
  <c r="AL14" i="4"/>
  <c r="AL15" i="4"/>
  <c r="AL10" i="4"/>
  <c r="AL16" i="4"/>
  <c r="AL11" i="4"/>
  <c r="AL9" i="4"/>
  <c r="AK17" i="4" l="1"/>
  <c r="AJ17" i="4"/>
  <c r="AM11" i="4" l="1"/>
  <c r="AN11" i="4" s="1"/>
  <c r="AM15" i="4"/>
  <c r="AN15" i="4" s="1"/>
  <c r="AM13" i="4"/>
  <c r="AN13" i="4" s="1"/>
  <c r="AM12" i="4"/>
  <c r="AN12" i="4" s="1"/>
  <c r="AM10" i="4"/>
  <c r="AN10" i="4" s="1"/>
  <c r="AM9" i="4"/>
  <c r="AN9" i="4" s="1"/>
  <c r="AM14" i="4"/>
  <c r="AN14" i="4" s="1"/>
  <c r="AM16" i="4"/>
  <c r="AN16" i="4" s="1"/>
  <c r="AN17" i="4" l="1"/>
  <c r="AO16" i="4" l="1"/>
  <c r="AO9" i="4"/>
  <c r="AO15" i="4"/>
  <c r="AO14" i="4"/>
  <c r="AO11" i="4"/>
  <c r="AO10" i="4"/>
  <c r="AO13" i="4"/>
  <c r="AO12" i="4"/>
  <c r="AO17" i="4" l="1"/>
  <c r="AR13" i="4"/>
  <c r="AR16" i="4"/>
  <c r="AR9" i="4"/>
  <c r="AR15" i="4"/>
  <c r="AR11" i="4"/>
  <c r="AR12" i="4"/>
  <c r="AR10" i="4"/>
  <c r="AR14" i="4"/>
  <c r="AQ17" i="4" l="1"/>
  <c r="AP17" i="4"/>
  <c r="AS10" i="4" l="1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1" i="4"/>
  <c r="AT11" i="4" s="1"/>
  <c r="AS13" i="4"/>
  <c r="AT13" i="4" s="1"/>
  <c r="AT17" i="4" l="1"/>
  <c r="AU10" i="4" l="1"/>
  <c r="AU14" i="4"/>
  <c r="AU16" i="4"/>
  <c r="AU15" i="4"/>
  <c r="AU12" i="4"/>
  <c r="AU11" i="4"/>
  <c r="AU13" i="4"/>
  <c r="AU9" i="4"/>
  <c r="AU17" i="4" l="1"/>
  <c r="AX13" i="4"/>
  <c r="AX12" i="4"/>
  <c r="AX14" i="4"/>
  <c r="AX11" i="4"/>
  <c r="AX16" i="4"/>
  <c r="AX10" i="4"/>
  <c r="AX9" i="4"/>
  <c r="AX15" i="4"/>
  <c r="AW17" i="4" l="1"/>
  <c r="AV17" i="4"/>
  <c r="AY14" i="4" l="1"/>
  <c r="AZ14" i="4" s="1"/>
  <c r="AY16" i="4"/>
  <c r="AZ16" i="4" s="1"/>
  <c r="AY13" i="4"/>
  <c r="AZ13" i="4" s="1"/>
  <c r="AY12" i="4"/>
  <c r="AZ12" i="4" s="1"/>
  <c r="AY10" i="4"/>
  <c r="AZ10" i="4" s="1"/>
  <c r="AY11" i="4"/>
  <c r="AZ11" i="4" s="1"/>
  <c r="AY9" i="4"/>
  <c r="AZ9" i="4" s="1"/>
  <c r="AY15" i="4"/>
  <c r="AZ15" i="4" s="1"/>
  <c r="AZ17" i="4" l="1"/>
  <c r="BA10" i="4" l="1"/>
  <c r="BA12" i="4"/>
  <c r="BA11" i="4"/>
  <c r="BA9" i="4"/>
  <c r="BA14" i="4"/>
  <c r="BA13" i="4"/>
  <c r="BA15" i="4"/>
  <c r="BA16" i="4"/>
  <c r="BA17" i="4" l="1"/>
  <c r="BD9" i="4"/>
  <c r="BD15" i="4"/>
  <c r="BD10" i="4"/>
  <c r="BD14" i="4"/>
  <c r="BD11" i="4"/>
  <c r="BD16" i="4"/>
  <c r="BD13" i="4"/>
  <c r="BD12" i="4"/>
  <c r="BC17" i="4" l="1"/>
  <c r="BB17" i="4"/>
  <c r="BE14" i="4" l="1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F17" i="4" l="1"/>
  <c r="BG10" i="4" l="1"/>
  <c r="BG14" i="4"/>
  <c r="BG12" i="4"/>
  <c r="BG13" i="4"/>
  <c r="BG9" i="4"/>
  <c r="BG11" i="4"/>
  <c r="BG15" i="4"/>
  <c r="BG16" i="4"/>
  <c r="BG17" i="4" l="1"/>
  <c r="BJ14" i="4"/>
  <c r="BJ16" i="4"/>
  <c r="BJ9" i="4"/>
  <c r="BJ10" i="4"/>
  <c r="BJ15" i="4"/>
  <c r="BJ12" i="4"/>
  <c r="BJ11" i="4"/>
  <c r="BJ13" i="4"/>
  <c r="BI17" i="4" l="1"/>
  <c r="BH17" i="4"/>
  <c r="BK14" i="4" l="1"/>
  <c r="BL14" i="4" s="1"/>
  <c r="BK13" i="4"/>
  <c r="BL13" i="4" s="1"/>
  <c r="BK11" i="4"/>
  <c r="BL11" i="4" s="1"/>
  <c r="BK12" i="4"/>
  <c r="BL12" i="4" s="1"/>
  <c r="BK9" i="4"/>
  <c r="BL9" i="4" s="1"/>
  <c r="BK10" i="4"/>
  <c r="BL10" i="4" s="1"/>
  <c r="BK15" i="4"/>
  <c r="BL15" i="4" s="1"/>
  <c r="BK16" i="4"/>
  <c r="BL16" i="4" s="1"/>
  <c r="BL17" i="4" l="1"/>
  <c r="BM9" i="4" l="1"/>
  <c r="BM12" i="4"/>
  <c r="BM13" i="4"/>
  <c r="BM10" i="4"/>
  <c r="BM11" i="4"/>
  <c r="BM16" i="4"/>
  <c r="BM15" i="4"/>
  <c r="BM14" i="4"/>
  <c r="BM17" i="4" l="1"/>
  <c r="BP16" i="4"/>
  <c r="BP13" i="4"/>
  <c r="BP10" i="4"/>
  <c r="BP9" i="4"/>
  <c r="BP15" i="4"/>
  <c r="BP14" i="4"/>
  <c r="BP11" i="4"/>
  <c r="BP12" i="4"/>
  <c r="BO17" i="4" l="1"/>
  <c r="BN17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1" i="4"/>
  <c r="BR11" i="4" s="1"/>
  <c r="BQ16" i="4"/>
  <c r="BR16" i="4" s="1"/>
  <c r="BR17" i="4" l="1"/>
  <c r="BS13" i="4" l="1"/>
  <c r="BS16" i="4"/>
  <c r="BS12" i="4"/>
  <c r="BS11" i="4"/>
  <c r="BS15" i="4"/>
  <c r="BS10" i="4"/>
  <c r="BS9" i="4"/>
  <c r="BS14" i="4"/>
  <c r="BS17" i="4" l="1"/>
  <c r="BT17" i="4" s="1"/>
  <c r="BV12" i="4"/>
  <c r="BV13" i="4"/>
  <c r="BV10" i="4"/>
  <c r="BV9" i="4"/>
  <c r="BV11" i="4"/>
  <c r="BV14" i="4"/>
  <c r="BV15" i="4"/>
  <c r="BV16" i="4"/>
  <c r="BU17" i="4" l="1"/>
  <c r="BW15" i="4" l="1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1" i="4"/>
  <c r="BX11" i="4" s="1"/>
  <c r="BX17" i="4" l="1"/>
  <c r="BY9" i="4" l="1"/>
  <c r="BY15" i="4"/>
  <c r="BY12" i="4"/>
  <c r="BY16" i="4"/>
  <c r="BY10" i="4"/>
  <c r="BY13" i="4"/>
  <c r="BY14" i="4"/>
  <c r="BY11" i="4"/>
  <c r="CB11" i="4" s="1"/>
  <c r="CB14" i="4" l="1"/>
  <c r="CB13" i="4"/>
  <c r="CB16" i="4"/>
  <c r="CB15" i="4"/>
  <c r="CB10" i="4"/>
  <c r="CB12" i="4"/>
  <c r="CB9" i="4"/>
  <c r="BY17" i="4"/>
  <c r="BZ17" i="4" s="1"/>
  <c r="CA17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5" i="4"/>
  <c r="CD15" i="4" s="1"/>
  <c r="CC11" i="4"/>
  <c r="CD11" i="4" s="1"/>
  <c r="CD17" i="4" l="1"/>
  <c r="CE9" i="4" s="1"/>
  <c r="CH9" i="4" l="1"/>
  <c r="CE10" i="4"/>
  <c r="CE12" i="4"/>
  <c r="CE16" i="4"/>
  <c r="CE15" i="4"/>
  <c r="CE14" i="4"/>
  <c r="CE13" i="4"/>
  <c r="CE11" i="4"/>
  <c r="CH12" i="4" l="1"/>
  <c r="CH15" i="4"/>
  <c r="CH11" i="4"/>
  <c r="CH14" i="4"/>
  <c r="CH13" i="4"/>
  <c r="CH16" i="4"/>
  <c r="CH10" i="4"/>
  <c r="CE17" i="4"/>
  <c r="CF17" i="4" s="1"/>
  <c r="CG17" i="4" l="1"/>
  <c r="CI14" i="4" l="1"/>
  <c r="CJ14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7" i="4" l="1"/>
  <c r="CK9" i="4" s="1"/>
  <c r="CN9" i="4" s="1"/>
  <c r="CK14" i="4" l="1"/>
  <c r="CN14" i="4" s="1"/>
  <c r="CK15" i="4"/>
  <c r="CN15" i="4" s="1"/>
  <c r="CK12" i="4"/>
  <c r="CN12" i="4" s="1"/>
  <c r="CK16" i="4"/>
  <c r="CN16" i="4" s="1"/>
  <c r="CK13" i="4"/>
  <c r="CN13" i="4" s="1"/>
  <c r="CK10" i="4"/>
  <c r="CN10" i="4" s="1"/>
  <c r="CK11" i="4"/>
  <c r="CN11" i="4" s="1"/>
  <c r="CK17" i="4" l="1"/>
  <c r="CL17" i="4" s="1"/>
  <c r="CM17" i="4"/>
  <c r="CO15" i="4" l="1"/>
  <c r="CP15" i="4" s="1"/>
  <c r="CO10" i="4"/>
  <c r="CP10" i="4" s="1"/>
  <c r="CO13" i="4"/>
  <c r="CP13" i="4" s="1"/>
  <c r="CO9" i="4"/>
  <c r="CP9" i="4" s="1"/>
  <c r="CO16" i="4"/>
  <c r="CP16" i="4" s="1"/>
  <c r="CO12" i="4"/>
  <c r="CP12" i="4" s="1"/>
  <c r="CO11" i="4"/>
  <c r="CP11" i="4" s="1"/>
  <c r="CO14" i="4"/>
  <c r="CP14" i="4" s="1"/>
  <c r="CP17" i="4" l="1"/>
  <c r="CQ15" i="4" s="1"/>
  <c r="CQ13" i="4" l="1"/>
  <c r="CT13" i="4" s="1"/>
  <c r="CQ12" i="4"/>
  <c r="CT12" i="4" s="1"/>
  <c r="CQ9" i="4"/>
  <c r="CT9" i="4" s="1"/>
  <c r="CQ16" i="4"/>
  <c r="CT16" i="4" s="1"/>
  <c r="CQ10" i="4"/>
  <c r="CT10" i="4" s="1"/>
  <c r="CQ11" i="4"/>
  <c r="CT11" i="4" s="1"/>
  <c r="CQ14" i="4"/>
  <c r="CT14" i="4" s="1"/>
  <c r="CT15" i="4"/>
  <c r="CQ17" i="4" l="1"/>
  <c r="CR17" i="4" s="1"/>
  <c r="CS17" i="4"/>
  <c r="CU9" i="4" l="1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7" i="4" l="1"/>
  <c r="CW9" i="4" s="1"/>
  <c r="CZ9" i="4" s="1"/>
  <c r="CW14" i="4" l="1"/>
  <c r="CZ14" i="4" s="1"/>
  <c r="CW12" i="4"/>
  <c r="CZ12" i="4" s="1"/>
  <c r="CW13" i="4"/>
  <c r="CZ13" i="4" s="1"/>
  <c r="CW11" i="4"/>
  <c r="CZ11" i="4" s="1"/>
  <c r="CW16" i="4"/>
  <c r="CZ16" i="4" s="1"/>
  <c r="CW15" i="4"/>
  <c r="CZ15" i="4" s="1"/>
  <c r="CW10" i="4"/>
  <c r="CW17" i="4" l="1"/>
  <c r="CX17" i="4" s="1"/>
  <c r="CZ10" i="4"/>
  <c r="CY17" i="4" s="1"/>
  <c r="DA10" i="4" l="1"/>
  <c r="DB10" i="4" s="1"/>
  <c r="DA13" i="4"/>
  <c r="DB13" i="4" s="1"/>
  <c r="DA14" i="4"/>
  <c r="DB14" i="4" s="1"/>
  <c r="DA16" i="4"/>
  <c r="DB16" i="4" s="1"/>
  <c r="DA9" i="4"/>
  <c r="DB9" i="4" s="1"/>
  <c r="DA15" i="4"/>
  <c r="DB15" i="4" s="1"/>
  <c r="DA12" i="4"/>
  <c r="DB12" i="4" s="1"/>
  <c r="DA11" i="4"/>
  <c r="DB11" i="4" s="1"/>
  <c r="DB17" i="4" l="1"/>
  <c r="DC12" i="4" s="1"/>
  <c r="DF12" i="4" l="1"/>
  <c r="DC11" i="4"/>
  <c r="DC14" i="4"/>
  <c r="DC9" i="4"/>
  <c r="DC15" i="4"/>
  <c r="DC13" i="4"/>
  <c r="DC16" i="4"/>
  <c r="DC10" i="4"/>
  <c r="DF9" i="4" l="1"/>
  <c r="DF10" i="4"/>
  <c r="DF11" i="4"/>
  <c r="DF16" i="4"/>
  <c r="DF13" i="4"/>
  <c r="DF15" i="4"/>
  <c r="DF14" i="4"/>
  <c r="DC17" i="4"/>
  <c r="DD17" i="4" s="1"/>
  <c r="DE17" i="4" l="1"/>
  <c r="DG12" i="4" l="1"/>
  <c r="DH12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H17" i="4" l="1"/>
  <c r="DI15" i="4" s="1"/>
  <c r="DL15" i="4" s="1"/>
  <c r="DI14" i="4" l="1"/>
  <c r="DL14" i="4" s="1"/>
  <c r="DI12" i="4"/>
  <c r="DI13" i="4"/>
  <c r="DL13" i="4" s="1"/>
  <c r="DI10" i="4"/>
  <c r="DL10" i="4" s="1"/>
  <c r="DI16" i="4"/>
  <c r="DL16" i="4" s="1"/>
  <c r="DI9" i="4"/>
  <c r="DL9" i="4" s="1"/>
  <c r="DI11" i="4"/>
  <c r="DL11" i="4" s="1"/>
  <c r="DL12" i="4"/>
  <c r="DI17" i="4" l="1"/>
  <c r="DJ17" i="4" s="1"/>
  <c r="DK17" i="4"/>
  <c r="DM11" i="4" l="1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9" i="4"/>
  <c r="DN9" i="4" s="1"/>
  <c r="DN17" i="4" l="1"/>
  <c r="DO12" i="4" s="1"/>
  <c r="DO9" i="4" l="1"/>
  <c r="DR9" i="4" s="1"/>
  <c r="DO11" i="4"/>
  <c r="DR11" i="4" s="1"/>
  <c r="DO14" i="4"/>
  <c r="DR14" i="4" s="1"/>
  <c r="DO16" i="4"/>
  <c r="DR16" i="4" s="1"/>
  <c r="DO10" i="4"/>
  <c r="DR10" i="4" s="1"/>
  <c r="DO15" i="4"/>
  <c r="DR15" i="4" s="1"/>
  <c r="DO13" i="4"/>
  <c r="DR13" i="4" s="1"/>
  <c r="DR12" i="4"/>
  <c r="DO17" i="4" l="1"/>
  <c r="DP17" i="4" s="1"/>
  <c r="DQ17" i="4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9" i="4"/>
  <c r="DT9" i="4" s="1"/>
  <c r="DS12" i="4"/>
  <c r="DT12" i="4" s="1"/>
  <c r="DT17" i="4" l="1"/>
  <c r="DU11" i="4" s="1"/>
  <c r="DX11" i="4" s="1"/>
  <c r="DU16" i="4" l="1"/>
  <c r="DX16" i="4" s="1"/>
  <c r="DU15" i="4"/>
  <c r="DX15" i="4" s="1"/>
  <c r="DU12" i="4"/>
  <c r="DX12" i="4" s="1"/>
  <c r="DU13" i="4"/>
  <c r="DX13" i="4" s="1"/>
  <c r="DU10" i="4"/>
  <c r="DX10" i="4" s="1"/>
  <c r="DU14" i="4"/>
  <c r="DX14" i="4" s="1"/>
  <c r="DU9" i="4"/>
  <c r="DX9" i="4" s="1"/>
  <c r="DU17" i="4" l="1"/>
  <c r="DV17" i="4" s="1"/>
  <c r="DW17" i="4"/>
  <c r="DY11" i="4" l="1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9" i="4"/>
  <c r="DZ9" i="4" s="1"/>
  <c r="DY15" i="4"/>
  <c r="DZ15" i="4" s="1"/>
  <c r="DZ17" i="4" l="1"/>
  <c r="EA12" i="4" l="1"/>
  <c r="EA16" i="4"/>
  <c r="EA9" i="4"/>
  <c r="EA14" i="4"/>
  <c r="EA10" i="4"/>
  <c r="EA13" i="4"/>
  <c r="EA15" i="4"/>
  <c r="EA11" i="4"/>
  <c r="ED15" i="4" l="1"/>
  <c r="ED10" i="4"/>
  <c r="ED9" i="4"/>
  <c r="ED12" i="4"/>
  <c r="ED11" i="4"/>
  <c r="ED13" i="4"/>
  <c r="ED14" i="4"/>
  <c r="ED16" i="4"/>
  <c r="EA17" i="4"/>
  <c r="EB17" i="4" s="1"/>
  <c r="EC17" i="4" l="1"/>
  <c r="EE9" i="4" l="1"/>
  <c r="EF9" i="4" s="1"/>
  <c r="EE14" i="4"/>
  <c r="EF14" i="4" s="1"/>
  <c r="EE15" i="4"/>
  <c r="EF15" i="4" s="1"/>
  <c r="EE10" i="4"/>
  <c r="EF10" i="4" s="1"/>
  <c r="EE12" i="4"/>
  <c r="EF12" i="4" s="1"/>
  <c r="EE16" i="4"/>
  <c r="EF16" i="4" s="1"/>
  <c r="EE11" i="4"/>
  <c r="EF11" i="4" s="1"/>
  <c r="EE13" i="4"/>
  <c r="EF13" i="4" s="1"/>
  <c r="EF17" i="4" l="1"/>
  <c r="EG9" i="4" l="1"/>
  <c r="EG15" i="4"/>
  <c r="EG10" i="4"/>
  <c r="EG16" i="4"/>
  <c r="EG13" i="4"/>
  <c r="EG14" i="4"/>
  <c r="EG12" i="4"/>
  <c r="EG11" i="4"/>
  <c r="EJ10" i="4" l="1"/>
  <c r="EJ16" i="4"/>
  <c r="EJ15" i="4"/>
  <c r="EJ14" i="4"/>
  <c r="EJ12" i="4"/>
  <c r="EJ13" i="4"/>
  <c r="EJ9" i="4"/>
  <c r="EG17" i="4"/>
  <c r="EH17" i="4" s="1"/>
  <c r="EJ11" i="4"/>
  <c r="EI17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4" i="4"/>
  <c r="EL14" i="4" s="1"/>
  <c r="EK10" i="4"/>
  <c r="EL10" i="4" s="1"/>
  <c r="EK15" i="4"/>
  <c r="EL15" i="4" s="1"/>
  <c r="EL17" i="4" l="1"/>
  <c r="EM11" i="4" l="1"/>
  <c r="EP11" i="4" s="1"/>
  <c r="EM15" i="4"/>
  <c r="EM9" i="4"/>
  <c r="EP9" i="4" s="1"/>
  <c r="EM16" i="4"/>
  <c r="EP16" i="4" s="1"/>
  <c r="EM14" i="4"/>
  <c r="EP14" i="4" s="1"/>
  <c r="EM10" i="4"/>
  <c r="EP10" i="4" s="1"/>
  <c r="EM12" i="4"/>
  <c r="EM13" i="4"/>
  <c r="EP13" i="4" s="1"/>
  <c r="EP15" i="4"/>
  <c r="EM17" i="4" l="1"/>
  <c r="EN17" i="4" s="1"/>
  <c r="EP12" i="4"/>
  <c r="EO17" i="4" l="1"/>
  <c r="EQ11" i="4" s="1"/>
  <c r="ER11" i="4" s="1"/>
  <c r="EQ16" i="4" l="1"/>
  <c r="ER16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R17" i="4" l="1"/>
  <c r="ES16" i="4" s="1"/>
  <c r="EV16" i="4" s="1"/>
  <c r="ES11" i="4" l="1"/>
  <c r="EV11" i="4" s="1"/>
  <c r="ES13" i="4"/>
  <c r="EV13" i="4" s="1"/>
  <c r="ES15" i="4"/>
  <c r="EV15" i="4" s="1"/>
  <c r="ES14" i="4"/>
  <c r="EV14" i="4" s="1"/>
  <c r="ES9" i="4"/>
  <c r="ES12" i="4"/>
  <c r="EV12" i="4" s="1"/>
  <c r="ES10" i="4"/>
  <c r="EV10" i="4" s="1"/>
  <c r="ES17" i="4" l="1"/>
  <c r="ET17" i="4" s="1"/>
  <c r="EV9" i="4"/>
  <c r="EU17" i="4" s="1"/>
  <c r="EW13" i="4" s="1"/>
  <c r="EX13" i="4" s="1"/>
  <c r="EW15" i="4" l="1"/>
  <c r="EX15" i="4" s="1"/>
  <c r="EW11" i="4"/>
  <c r="EX11" i="4" s="1"/>
  <c r="EW12" i="4"/>
  <c r="EX12" i="4" s="1"/>
  <c r="EW16" i="4"/>
  <c r="EX16" i="4" s="1"/>
  <c r="EW10" i="4"/>
  <c r="EX10" i="4" s="1"/>
  <c r="EW14" i="4"/>
  <c r="EX14" i="4" s="1"/>
  <c r="EW9" i="4"/>
  <c r="EX9" i="4" s="1"/>
  <c r="EX17" i="4" l="1"/>
  <c r="EY9" i="4" s="1"/>
  <c r="EY14" i="4" l="1"/>
  <c r="FB14" i="4" s="1"/>
  <c r="EY12" i="4"/>
  <c r="EY16" i="4"/>
  <c r="EY15" i="4"/>
  <c r="FB15" i="4" s="1"/>
  <c r="EY11" i="4"/>
  <c r="FB11" i="4" s="1"/>
  <c r="EY13" i="4"/>
  <c r="FB13" i="4" s="1"/>
  <c r="EY10" i="4"/>
  <c r="FB10" i="4" s="1"/>
  <c r="FB12" i="4"/>
  <c r="FB16" i="4"/>
  <c r="FB9" i="4"/>
  <c r="EY17" i="4" l="1"/>
  <c r="EZ17" i="4" s="1"/>
  <c r="FA17" i="4"/>
  <c r="FC16" i="4" l="1"/>
  <c r="FD16" i="4" s="1"/>
  <c r="FC12" i="4"/>
  <c r="FD12" i="4" s="1"/>
  <c r="FC13" i="4"/>
  <c r="FD13" i="4" s="1"/>
  <c r="FC9" i="4"/>
  <c r="FD9" i="4" s="1"/>
  <c r="FC14" i="4"/>
  <c r="FD14" i="4" s="1"/>
  <c r="FC10" i="4"/>
  <c r="FD10" i="4" s="1"/>
  <c r="FC15" i="4"/>
  <c r="FD15" i="4" s="1"/>
  <c r="FC11" i="4"/>
  <c r="FD11" i="4" s="1"/>
  <c r="FD17" i="4" l="1"/>
  <c r="FE15" i="4" l="1"/>
  <c r="FE16" i="4"/>
  <c r="FE10" i="4"/>
  <c r="FE13" i="4"/>
  <c r="FE9" i="4"/>
  <c r="FE11" i="4"/>
  <c r="FE14" i="4"/>
  <c r="FE12" i="4"/>
  <c r="FH13" i="4" l="1"/>
  <c r="FH15" i="4"/>
  <c r="FH14" i="4"/>
  <c r="FH10" i="4"/>
  <c r="FE17" i="4"/>
  <c r="FF17" i="4" s="1"/>
  <c r="FH9" i="4"/>
  <c r="FH16" i="4"/>
  <c r="FH12" i="4"/>
  <c r="FH11" i="4"/>
  <c r="FG17" i="4" l="1"/>
  <c r="FI15" i="4" l="1"/>
  <c r="FJ15" i="4" s="1"/>
  <c r="FI16" i="4"/>
  <c r="FJ16" i="4" s="1"/>
  <c r="FI12" i="4"/>
  <c r="FJ12" i="4" s="1"/>
  <c r="FI13" i="4"/>
  <c r="FJ13" i="4" s="1"/>
  <c r="FI9" i="4"/>
  <c r="FJ9" i="4" s="1"/>
  <c r="FI14" i="4"/>
  <c r="FJ14" i="4" s="1"/>
  <c r="FI10" i="4"/>
  <c r="FJ10" i="4" s="1"/>
  <c r="FI11" i="4"/>
  <c r="FJ11" i="4" s="1"/>
  <c r="FJ17" i="4" l="1"/>
  <c r="FK16" i="4" l="1"/>
  <c r="FK11" i="4"/>
  <c r="FK15" i="4"/>
  <c r="FK12" i="4"/>
  <c r="FK9" i="4"/>
  <c r="FK10" i="4"/>
  <c r="FK14" i="4"/>
  <c r="FK13" i="4"/>
  <c r="FN14" i="4" l="1"/>
  <c r="FN10" i="4"/>
  <c r="FN16" i="4"/>
  <c r="FK17" i="4"/>
  <c r="FL17" i="4" s="1"/>
  <c r="FN9" i="4"/>
  <c r="FN15" i="4"/>
  <c r="FN13" i="4"/>
  <c r="FN12" i="4"/>
  <c r="FN11" i="4"/>
  <c r="FM17" i="4" l="1"/>
  <c r="FO16" i="4" l="1"/>
  <c r="FP16" i="4" s="1"/>
  <c r="FO12" i="4"/>
  <c r="FP12" i="4" s="1"/>
  <c r="FO13" i="4"/>
  <c r="FP13" i="4" s="1"/>
  <c r="FO9" i="4"/>
  <c r="FP9" i="4" s="1"/>
  <c r="FO14" i="4"/>
  <c r="FP14" i="4" s="1"/>
  <c r="FO10" i="4"/>
  <c r="FP10" i="4" s="1"/>
  <c r="FO15" i="4"/>
  <c r="FP15" i="4" s="1"/>
  <c r="FO11" i="4"/>
  <c r="FP11" i="4" s="1"/>
  <c r="FP17" i="4" l="1"/>
  <c r="FQ14" i="4" l="1"/>
  <c r="FQ10" i="4"/>
  <c r="FQ12" i="4"/>
  <c r="FQ16" i="4"/>
  <c r="FQ15" i="4"/>
  <c r="FQ11" i="4"/>
  <c r="FQ13" i="4"/>
  <c r="FQ9" i="4"/>
  <c r="FT13" i="4" l="1"/>
  <c r="FT11" i="4"/>
  <c r="FT12" i="4"/>
  <c r="FT14" i="4"/>
  <c r="FQ17" i="4"/>
  <c r="FR17" i="4" s="1"/>
  <c r="FT9" i="4"/>
  <c r="FT16" i="4"/>
  <c r="FT10" i="4"/>
  <c r="FT15" i="4"/>
  <c r="FS17" i="4" l="1"/>
  <c r="FU15" i="4" l="1"/>
  <c r="FV15" i="4" s="1"/>
  <c r="FU16" i="4"/>
  <c r="FV16" i="4" s="1"/>
  <c r="FU12" i="4"/>
  <c r="FV12" i="4" s="1"/>
  <c r="FU13" i="4"/>
  <c r="FV13" i="4" s="1"/>
  <c r="FU9" i="4"/>
  <c r="FV9" i="4" s="1"/>
  <c r="FU14" i="4"/>
  <c r="FV14" i="4" s="1"/>
  <c r="FU10" i="4"/>
  <c r="FV10" i="4" s="1"/>
  <c r="FU11" i="4"/>
  <c r="FV11" i="4" s="1"/>
  <c r="FV17" i="4" l="1"/>
  <c r="FW12" i="4" l="1"/>
  <c r="FW13" i="4"/>
  <c r="FW9" i="4"/>
  <c r="FW10" i="4"/>
  <c r="FW11" i="4"/>
  <c r="FW16" i="4"/>
  <c r="FW14" i="4"/>
  <c r="FW15" i="4"/>
  <c r="FZ16" i="4" l="1"/>
  <c r="FZ14" i="4"/>
  <c r="FZ10" i="4"/>
  <c r="FZ15" i="4"/>
  <c r="FZ11" i="4"/>
  <c r="FZ13" i="4"/>
  <c r="FZ12" i="4"/>
  <c r="FW17" i="4"/>
  <c r="FX17" i="4" s="1"/>
  <c r="FZ9" i="4"/>
  <c r="FY17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5" i="4"/>
  <c r="GB15" i="4" s="1"/>
  <c r="GA14" i="4"/>
  <c r="GB14" i="4" s="1"/>
  <c r="GA16" i="4"/>
  <c r="GB16" i="4" s="1"/>
  <c r="GB17" i="4" l="1"/>
  <c r="GC12" i="4" s="1"/>
  <c r="GC9" i="4" l="1"/>
  <c r="GF9" i="4" s="1"/>
  <c r="GC15" i="4"/>
  <c r="GC16" i="4"/>
  <c r="GF16" i="4" s="1"/>
  <c r="GC11" i="4"/>
  <c r="GF11" i="4" s="1"/>
  <c r="GC13" i="4"/>
  <c r="GF13" i="4" s="1"/>
  <c r="GC10" i="4"/>
  <c r="GF10" i="4" s="1"/>
  <c r="GC14" i="4"/>
  <c r="GF14" i="4" s="1"/>
  <c r="GF12" i="4"/>
  <c r="GF15" i="4"/>
  <c r="GC17" i="4" l="1"/>
  <c r="GD17" i="4" s="1"/>
  <c r="GE17" i="4"/>
  <c r="GG11" i="4" l="1"/>
  <c r="GH11" i="4" s="1"/>
  <c r="GG9" i="4"/>
  <c r="GH9" i="4" s="1"/>
  <c r="GG14" i="4"/>
  <c r="GH14" i="4" s="1"/>
  <c r="GG16" i="4"/>
  <c r="GH16" i="4" s="1"/>
  <c r="GG10" i="4"/>
  <c r="GH10" i="4" s="1"/>
  <c r="GG12" i="4"/>
  <c r="GH12" i="4" s="1"/>
  <c r="GG15" i="4"/>
  <c r="GH15" i="4" s="1"/>
  <c r="GG13" i="4"/>
  <c r="GH13" i="4" s="1"/>
  <c r="GH17" i="4" l="1"/>
  <c r="GI14" i="4" s="1"/>
  <c r="GJ14" i="4" s="1"/>
  <c r="GK14" i="4" s="1"/>
  <c r="GL14" i="4" s="1"/>
  <c r="GI15" i="4" l="1"/>
  <c r="GJ15" i="4" s="1"/>
  <c r="GK15" i="4" s="1"/>
  <c r="GL15" i="4" s="1"/>
  <c r="GI9" i="4"/>
  <c r="GI10" i="4"/>
  <c r="GJ10" i="4" s="1"/>
  <c r="GK10" i="4" s="1"/>
  <c r="GL10" i="4" s="1"/>
  <c r="GI11" i="4"/>
  <c r="GJ11" i="4" s="1"/>
  <c r="GK11" i="4" s="1"/>
  <c r="GL11" i="4" s="1"/>
  <c r="GI16" i="4"/>
  <c r="GJ16" i="4" s="1"/>
  <c r="GK16" i="4" s="1"/>
  <c r="GL16" i="4" s="1"/>
  <c r="GI13" i="4"/>
  <c r="GJ13" i="4" s="1"/>
  <c r="GK13" i="4" s="1"/>
  <c r="GL13" i="4" s="1"/>
  <c r="GI12" i="4"/>
  <c r="GJ12" i="4" s="1"/>
  <c r="GK12" i="4" s="1"/>
  <c r="GL12" i="4" s="1"/>
  <c r="GJ9" i="4"/>
  <c r="GI17" i="4" l="1"/>
  <c r="GK9" i="4"/>
  <c r="GL9" i="4" s="1"/>
  <c r="GJ17" i="4"/>
  <c r="GK17" i="4" s="1"/>
</calcChain>
</file>

<file path=xl/sharedStrings.xml><?xml version="1.0" encoding="utf-8"?>
<sst xmlns="http://schemas.openxmlformats.org/spreadsheetml/2006/main" count="1258" uniqueCount="202">
  <si>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</si>
  <si>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</si>
  <si>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</si>
  <si>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</si>
  <si>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</si>
  <si>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</si>
  <si>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</si>
  <si>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</si>
  <si>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</si>
  <si>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</si>
  <si>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</si>
  <si>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</si>
  <si>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</si>
  <si>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</si>
  <si>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</si>
  <si>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</si>
  <si>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</si>
  <si>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</si>
  <si>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</si>
  <si>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</si>
  <si>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</si>
  <si>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</si>
  <si>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</si>
  <si>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</si>
  <si>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</si>
  <si>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</si>
  <si>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</si>
  <si>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</si>
  <si>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</si>
  <si>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</si>
  <si>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</si>
  <si>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</si>
  <si>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</si>
  <si>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</si>
  <si>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</si>
  <si>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</si>
  <si>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</si>
  <si>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</si>
  <si>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</si>
  <si>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</si>
  <si>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</si>
  <si>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</si>
  <si>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</si>
  <si>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</si>
  <si>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</si>
  <si>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</si>
  <si>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</si>
  <si>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</si>
  <si>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</si>
  <si>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</si>
  <si>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</si>
  <si>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</si>
  <si>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</si>
  <si>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</si>
  <si>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</si>
  <si>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</si>
  <si>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</si>
  <si>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</si>
  <si>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</si>
  <si>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</si>
  <si>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</si>
  <si>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</si>
  <si>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</si>
  <si>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</si>
  <si>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</si>
  <si>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</si>
  <si>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</si>
  <si>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</si>
  <si>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</si>
  <si>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</si>
  <si>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</si>
  <si>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</si>
  <si>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</si>
  <si>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</si>
  <si>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</si>
  <si>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</si>
  <si>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дотации, распределенный на 1 этапе (исходя из численности населения)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</si>
  <si>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</si>
  <si>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</si>
  <si>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</si>
  <si>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</si>
  <si>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</si>
  <si>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</si>
  <si>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</si>
  <si>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</si>
  <si>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</si>
  <si>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</si>
  <si>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</si>
  <si>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</si>
  <si>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</si>
  <si>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</si>
  <si>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</si>
  <si>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</si>
  <si>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</si>
  <si>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</si>
  <si>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</si>
  <si>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</si>
  <si>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</si>
  <si>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</si>
  <si>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</si>
  <si>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</si>
  <si>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</si>
  <si>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</si>
  <si>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</si>
  <si>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</si>
  <si>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</si>
  <si>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</si>
  <si>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</si>
  <si>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</si>
  <si>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</si>
  <si>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</si>
  <si>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</si>
  <si>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</si>
  <si>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</si>
  <si>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</si>
  <si>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</si>
  <si>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</si>
  <si>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</si>
  <si>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</si>
  <si>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</si>
  <si>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</si>
  <si>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</si>
  <si>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</si>
  <si>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</si>
  <si>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</si>
  <si>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</si>
  <si>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</si>
  <si>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</si>
  <si>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</si>
  <si>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</si>
  <si>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</si>
  <si>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</si>
  <si>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</si>
  <si>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</si>
  <si>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</si>
  <si>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</si>
  <si>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</si>
  <si>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</si>
  <si>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</si>
  <si>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</si>
  <si>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</si>
  <si>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</si>
  <si>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</si>
  <si>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</si>
  <si>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</si>
  <si>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</si>
  <si>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</si>
  <si>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</si>
  <si>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</si>
  <si>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</si>
  <si>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</si>
  <si>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</si>
  <si>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</si>
  <si>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</si>
  <si>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</si>
  <si>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</si>
  <si>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</si>
  <si>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</si>
  <si>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</si>
  <si>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</si>
  <si>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</si>
  <si>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</si>
  <si>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</si>
  <si>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</si>
  <si>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</si>
  <si>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</si>
  <si>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</si>
  <si>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</si>
  <si>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</si>
  <si>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</si>
  <si>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</si>
  <si>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</si>
  <si>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</si>
  <si>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на 01.01.2021</t>
  </si>
  <si>
    <t>удаленностьцентральной усадьбы от райцентра</t>
  </si>
  <si>
    <t>количество населенных пунктов на 01.01.2021</t>
  </si>
  <si>
    <t>общая площадь земель поселения</t>
  </si>
  <si>
    <t>км</t>
  </si>
  <si>
    <t>ед</t>
  </si>
  <si>
    <t>га</t>
  </si>
  <si>
    <t>11=3 / 7</t>
  </si>
  <si>
    <t>Азовское сельское поселение</t>
  </si>
  <si>
    <t>Александровское сельское поселение</t>
  </si>
  <si>
    <t>Березовское сельское поселение</t>
  </si>
  <si>
    <t>Гауфское сельское поселение</t>
  </si>
  <si>
    <t>Звонаревокутское сельское поселение</t>
  </si>
  <si>
    <t>Пришибское сельское поселение</t>
  </si>
  <si>
    <t>Сосновское сельское поселение</t>
  </si>
  <si>
    <t>Цветнопольское сельское поселение</t>
  </si>
  <si>
    <t>среднее значение</t>
  </si>
  <si>
    <t>Коэффициент удаленности поселения от районного центра (с. Азово)</t>
  </si>
  <si>
    <t>Коэффициент, учитывающий количество населенных пунктов в поселении</t>
  </si>
  <si>
    <r>
      <t xml:space="preserve">Поправочный коэффициент расходных потребностей
</t>
    </r>
    <r>
      <rPr>
        <b/>
        <i/>
        <sz val="10"/>
        <rFont val="Times New Roman"/>
        <family val="1"/>
        <charset val="204"/>
      </rPr>
      <t>Кi = Ki1 * Ki2 * Ki3</t>
    </r>
  </si>
  <si>
    <t>Куд_р = 2 - ((minRi)+ Ris)/(Ri + Ris))</t>
  </si>
  <si>
    <r>
      <t>K</t>
    </r>
    <r>
      <rPr>
        <i/>
        <vertAlign val="subscript"/>
        <sz val="8"/>
        <rFont val="Times New Roman"/>
        <family val="1"/>
        <charset val="204"/>
      </rPr>
      <t xml:space="preserve">нп </t>
    </r>
    <r>
      <rPr>
        <i/>
        <sz val="8"/>
        <rFont val="Times New Roman"/>
        <family val="1"/>
        <charset val="204"/>
      </rPr>
      <t>= (1+Нп</t>
    </r>
    <r>
      <rPr>
        <i/>
        <vertAlign val="subscript"/>
        <sz val="8"/>
        <rFont val="Times New Roman"/>
        <family val="1"/>
        <charset val="204"/>
      </rPr>
      <t>i</t>
    </r>
    <r>
      <rPr>
        <i/>
        <sz val="8"/>
        <rFont val="Times New Roman"/>
        <family val="1"/>
        <charset val="204"/>
      </rPr>
      <t xml:space="preserve"> / ∑ Нп</t>
    </r>
    <r>
      <rPr>
        <i/>
        <vertAlign val="subscript"/>
        <sz val="8"/>
        <rFont val="Times New Roman"/>
        <family val="1"/>
        <charset val="204"/>
      </rPr>
      <t>i</t>
    </r>
    <r>
      <rPr>
        <i/>
        <sz val="8"/>
        <rFont val="Times New Roman"/>
        <family val="1"/>
        <charset val="204"/>
      </rPr>
      <t>) / (1+Н</t>
    </r>
    <r>
      <rPr>
        <i/>
        <vertAlign val="subscript"/>
        <sz val="8"/>
        <rFont val="Times New Roman"/>
        <family val="1"/>
        <charset val="204"/>
      </rPr>
      <t>i</t>
    </r>
    <r>
      <rPr>
        <i/>
        <sz val="8"/>
        <rFont val="Times New Roman"/>
        <family val="1"/>
        <charset val="204"/>
      </rPr>
      <t xml:space="preserve"> / Н)</t>
    </r>
  </si>
  <si>
    <r>
      <rPr>
        <i/>
        <sz val="7"/>
        <rFont val="Times New Roman"/>
        <family val="1"/>
        <charset val="204"/>
      </rPr>
      <t xml:space="preserve">      </t>
    </r>
    <r>
      <rPr>
        <i/>
        <sz val="8"/>
        <rFont val="Times New Roman"/>
        <family val="1"/>
        <charset val="204"/>
      </rPr>
      <t xml:space="preserve">    </t>
    </r>
    <r>
      <rPr>
        <i/>
        <vertAlign val="subscript"/>
        <sz val="8"/>
        <rFont val="Times New Roman"/>
        <family val="1"/>
        <charset val="204"/>
      </rPr>
      <t xml:space="preserve">   n   </t>
    </r>
    <r>
      <rPr>
        <i/>
        <sz val="8"/>
        <rFont val="Times New Roman"/>
        <family val="1"/>
        <charset val="204"/>
      </rPr>
      <t xml:space="preserve">                                             </t>
    </r>
    <r>
      <rPr>
        <i/>
        <vertAlign val="subscript"/>
        <sz val="8"/>
        <rFont val="Times New Roman"/>
        <family val="1"/>
        <charset val="204"/>
      </rPr>
      <t xml:space="preserve">   n</t>
    </r>
    <r>
      <rPr>
        <i/>
        <sz val="8"/>
        <rFont val="Times New Roman"/>
        <family val="1"/>
        <charset val="204"/>
      </rPr>
      <t xml:space="preserve">
Kп = 2-((Нi / Si) + ∑ (Нi / Si) / n) / ((max(Нi / Si))+ ∑ (Нi / Si) / n)
           </t>
    </r>
    <r>
      <rPr>
        <i/>
        <vertAlign val="superscript"/>
        <sz val="7"/>
        <rFont val="Times New Roman"/>
        <family val="1"/>
        <charset val="204"/>
      </rPr>
      <t>i=1                                                                          i=1</t>
    </r>
  </si>
  <si>
    <t>Расчет размера дотации бюджетам поселений, входящих в состав Азовского немецкого национального муниципального района Омской области, на выравнивание бюджетной обеспеченности на 2024 год</t>
  </si>
  <si>
    <t>2024 год</t>
  </si>
  <si>
    <t xml:space="preserve">Численность постоянного населения </t>
  </si>
  <si>
    <t>Численность постоянного населения на начало текущего года</t>
  </si>
  <si>
    <t>Коэффициент, учитывающий площадь территории поселений, входящих в состав Азовского ННМР</t>
  </si>
  <si>
    <t>Выравнивание исходя из численности постоянного населения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</si>
</sst>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  <numFmt numFmtId="174" formatCode="#,##0.000"/>
    <numFmt numFmtId="175" formatCode="0.00000"/>
  </numFmts>
  <fonts count="49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 CYR"/>
      <charset val="204"/>
    </font>
    <font>
      <b/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vertAlign val="subscript"/>
      <sz val="8"/>
      <name val="Times New Roman"/>
      <family val="1"/>
      <charset val="204"/>
    </font>
    <font>
      <i/>
      <sz val="7"/>
      <name val="Times New Roman"/>
      <family val="1"/>
      <charset val="204"/>
    </font>
    <font>
      <i/>
      <vertAlign val="superscript"/>
      <sz val="7"/>
      <name val="Times New Roman"/>
      <family val="1"/>
      <charset val="204"/>
    </font>
    <font>
      <sz val="10"/>
      <name val="Arial"/>
      <family val="2"/>
      <charset val="204"/>
    </font>
  </fonts>
  <fills count="5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rgb="FFB7F9A7"/>
        <bgColor rgb="FF000000"/>
      </patternFill>
    </fill>
    <fill>
      <patternFill patternType="solid">
        <fgColor rgb="FFB7F9A7"/>
        <bgColor rgb="FFCCFFFF"/>
      </patternFill>
    </fill>
    <fill>
      <patternFill patternType="solid">
        <fgColor rgb="FFFFFFFF"/>
        <bgColor rgb="FFCCFFFF"/>
      </patternFill>
    </fill>
    <fill>
      <patternFill patternType="solid">
        <fgColor rgb="FFFFFF00"/>
        <bgColor indexed="64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  <xf numFmtId="0" fontId="48" fillId="0" borderId="0"/>
  </cellStyleXfs>
  <cellXfs count="262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6" xfId="0" applyFont="1" applyFill="1" applyBorder="1" applyAlignment="1">
      <alignment vertical="center"/>
    </xf>
    <xf numFmtId="3" fontId="21" fillId="0" borderId="16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6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vertical="center"/>
    </xf>
    <xf numFmtId="0" fontId="18" fillId="0" borderId="17" xfId="0" applyFont="1" applyFill="1" applyBorder="1" applyAlignment="1">
      <alignment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6" xfId="0" applyNumberFormat="1" applyFont="1" applyFill="1" applyBorder="1" applyAlignment="1">
      <alignment horizontal="center" vertical="center" wrapText="1"/>
    </xf>
    <xf numFmtId="167" fontId="21" fillId="28" borderId="16" xfId="0" applyNumberFormat="1" applyFont="1" applyFill="1" applyBorder="1" applyAlignment="1">
      <alignment horizontal="right" vertical="center"/>
    </xf>
    <xf numFmtId="166" fontId="21" fillId="28" borderId="16" xfId="0" applyNumberFormat="1" applyFont="1" applyFill="1" applyBorder="1" applyAlignment="1">
      <alignment horizontal="center" vertical="center" wrapText="1"/>
    </xf>
    <xf numFmtId="172" fontId="29" fillId="28" borderId="16" xfId="0" applyNumberFormat="1" applyFont="1" applyFill="1" applyBorder="1" applyAlignment="1">
      <alignment horizontal="center" vertical="center"/>
    </xf>
    <xf numFmtId="173" fontId="21" fillId="28" borderId="16" xfId="0" applyNumberFormat="1" applyFont="1" applyFill="1" applyBorder="1" applyAlignment="1">
      <alignment horizontal="center" vertical="center"/>
    </xf>
    <xf numFmtId="0" fontId="18" fillId="27" borderId="15" xfId="0" applyFont="1" applyFill="1" applyBorder="1" applyAlignment="1">
      <alignment horizontal="center" vertical="center"/>
    </xf>
    <xf numFmtId="168" fontId="18" fillId="26" borderId="15" xfId="0" applyNumberFormat="1" applyFont="1" applyFill="1" applyBorder="1" applyAlignment="1">
      <alignment vertical="center"/>
    </xf>
    <xf numFmtId="170" fontId="18" fillId="26" borderId="15" xfId="0" applyNumberFormat="1" applyFont="1" applyFill="1" applyBorder="1" applyAlignment="1">
      <alignment vertical="center"/>
    </xf>
    <xf numFmtId="169" fontId="18" fillId="26" borderId="15" xfId="0" applyNumberFormat="1" applyFont="1" applyFill="1" applyBorder="1" applyAlignment="1">
      <alignment vertical="center"/>
    </xf>
    <xf numFmtId="171" fontId="18" fillId="26" borderId="15" xfId="0" applyNumberFormat="1" applyFont="1" applyFill="1" applyBorder="1" applyAlignment="1">
      <alignment horizontal="right" vertical="center"/>
    </xf>
    <xf numFmtId="167" fontId="18" fillId="26" borderId="15" xfId="0" applyNumberFormat="1" applyFont="1" applyFill="1" applyBorder="1" applyAlignment="1">
      <alignment vertical="center"/>
    </xf>
    <xf numFmtId="0" fontId="31" fillId="30" borderId="43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22" fillId="30" borderId="55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6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8" xfId="0" applyFont="1" applyFill="1" applyBorder="1" applyAlignment="1">
      <alignment horizontal="center" vertical="center" wrapText="1"/>
    </xf>
    <xf numFmtId="0" fontId="18" fillId="34" borderId="53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5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9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2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7" xfId="0" applyNumberFormat="1" applyFont="1" applyFill="1" applyBorder="1" applyAlignment="1">
      <alignment horizontal="right" vertical="center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39" borderId="55" xfId="0" applyFont="1" applyFill="1" applyBorder="1" applyAlignment="1">
      <alignment horizontal="center" vertical="center" wrapText="1"/>
    </xf>
    <xf numFmtId="0" fontId="31" fillId="39" borderId="17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9" xfId="0" applyFont="1" applyFill="1" applyBorder="1" applyAlignment="1">
      <alignment horizontal="center" vertical="center"/>
    </xf>
    <xf numFmtId="0" fontId="31" fillId="0" borderId="49" xfId="0" applyFont="1" applyBorder="1" applyAlignment="1">
      <alignment horizontal="center" vertical="center"/>
    </xf>
    <xf numFmtId="0" fontId="38" fillId="42" borderId="32" xfId="0" applyFont="1" applyFill="1" applyBorder="1" applyAlignment="1">
      <alignment horizontal="center" vertical="center" wrapText="1"/>
    </xf>
    <xf numFmtId="164" fontId="38" fillId="43" borderId="30" xfId="0" applyNumberFormat="1" applyFont="1" applyFill="1" applyBorder="1" applyAlignment="1">
      <alignment horizontal="center" vertical="center" wrapText="1"/>
    </xf>
    <xf numFmtId="164" fontId="38" fillId="43" borderId="31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vertical="center" wrapText="1"/>
    </xf>
    <xf numFmtId="0" fontId="18" fillId="0" borderId="50" xfId="0" applyFont="1" applyFill="1" applyBorder="1" applyAlignment="1">
      <alignment horizontal="center" vertical="center" wrapText="1"/>
    </xf>
    <xf numFmtId="0" fontId="18" fillId="42" borderId="49" xfId="0" applyFont="1" applyFill="1" applyBorder="1" applyAlignment="1">
      <alignment horizontal="center" vertical="center" wrapText="1"/>
    </xf>
    <xf numFmtId="164" fontId="37" fillId="42" borderId="15" xfId="0" applyNumberFormat="1" applyFont="1" applyFill="1" applyBorder="1" applyAlignment="1">
      <alignment horizontal="center" vertical="center" wrapText="1"/>
    </xf>
    <xf numFmtId="164" fontId="37" fillId="42" borderId="42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3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5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2" xfId="0" applyFont="1" applyFill="1" applyBorder="1" applyAlignment="1">
      <alignment horizontal="center" vertical="center" wrapText="1"/>
    </xf>
    <xf numFmtId="0" fontId="31" fillId="26" borderId="47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3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0" fontId="18" fillId="39" borderId="49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0" fontId="18" fillId="26" borderId="34" xfId="0" applyFont="1" applyFill="1" applyBorder="1" applyAlignment="1">
      <alignment vertical="center"/>
    </xf>
    <xf numFmtId="0" fontId="18" fillId="26" borderId="35" xfId="0" applyFont="1" applyFill="1" applyBorder="1" applyAlignment="1">
      <alignment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29" fillId="48" borderId="27" xfId="0" applyNumberFormat="1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1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172" fontId="33" fillId="31" borderId="57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0" fontId="34" fillId="0" borderId="68" xfId="0" applyFont="1" applyFill="1" applyBorder="1" applyAlignment="1">
      <alignment wrapText="1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9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4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4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7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4" xfId="0" applyNumberFormat="1" applyFont="1" applyFill="1" applyBorder="1" applyAlignment="1">
      <alignment vertical="center"/>
    </xf>
    <xf numFmtId="171" fontId="18" fillId="26" borderId="44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4" xfId="0" applyNumberFormat="1" applyFont="1" applyFill="1" applyBorder="1" applyAlignment="1">
      <alignment horizontal="right" vertical="center"/>
    </xf>
    <xf numFmtId="167" fontId="18" fillId="26" borderId="45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21" fillId="39" borderId="55" xfId="0" applyFont="1" applyFill="1" applyBorder="1" applyAlignment="1">
      <alignment horizontal="center" vertical="center"/>
    </xf>
    <xf numFmtId="164" fontId="37" fillId="50" borderId="15" xfId="0" applyNumberFormat="1" applyFont="1" applyFill="1" applyBorder="1" applyAlignment="1">
      <alignment horizontal="center" vertical="center" wrapText="1"/>
    </xf>
    <xf numFmtId="164" fontId="37" fillId="50" borderId="20" xfId="0" applyNumberFormat="1" applyFont="1" applyFill="1" applyBorder="1" applyAlignment="1">
      <alignment horizontal="center" vertical="center" wrapText="1"/>
    </xf>
    <xf numFmtId="164" fontId="38" fillId="51" borderId="24" xfId="0" applyNumberFormat="1" applyFont="1" applyFill="1" applyBorder="1" applyAlignment="1">
      <alignment horizontal="center" vertical="center" wrapText="1"/>
    </xf>
    <xf numFmtId="0" fontId="22" fillId="52" borderId="24" xfId="0" applyFont="1" applyFill="1" applyBorder="1" applyAlignment="1">
      <alignment horizontal="center" vertical="center"/>
    </xf>
    <xf numFmtId="0" fontId="41" fillId="0" borderId="14" xfId="0" applyFont="1" applyFill="1" applyBorder="1" applyAlignment="1" applyProtection="1">
      <alignment wrapText="1"/>
    </xf>
    <xf numFmtId="1" fontId="41" fillId="0" borderId="14" xfId="0" applyNumberFormat="1" applyFont="1" applyFill="1" applyBorder="1" applyAlignment="1" applyProtection="1">
      <alignment horizontal="center" wrapText="1"/>
    </xf>
    <xf numFmtId="164" fontId="18" fillId="0" borderId="34" xfId="0" applyNumberFormat="1" applyFont="1" applyFill="1" applyBorder="1" applyAlignment="1">
      <alignment horizontal="center" vertical="center"/>
    </xf>
    <xf numFmtId="164" fontId="21" fillId="0" borderId="39" xfId="0" applyNumberFormat="1" applyFont="1" applyFill="1" applyBorder="1" applyAlignment="1">
      <alignment horizontal="center" vertical="center"/>
    </xf>
    <xf numFmtId="3" fontId="21" fillId="0" borderId="11" xfId="0" applyNumberFormat="1" applyFont="1" applyBorder="1" applyAlignment="1">
      <alignment horizontal="center" vertical="center"/>
    </xf>
    <xf numFmtId="4" fontId="42" fillId="0" borderId="11" xfId="0" applyNumberFormat="1" applyFont="1" applyBorder="1" applyAlignment="1">
      <alignment horizontal="center" vertical="center"/>
    </xf>
    <xf numFmtId="173" fontId="18" fillId="0" borderId="0" xfId="0" applyNumberFormat="1" applyFont="1" applyFill="1" applyAlignment="1">
      <alignment vertical="center"/>
    </xf>
    <xf numFmtId="164" fontId="21" fillId="0" borderId="36" xfId="0" applyNumberFormat="1" applyFont="1" applyFill="1" applyBorder="1" applyAlignment="1">
      <alignment horizontal="center" vertical="center"/>
    </xf>
    <xf numFmtId="3" fontId="21" fillId="0" borderId="15" xfId="0" applyNumberFormat="1" applyFont="1" applyBorder="1" applyAlignment="1">
      <alignment horizontal="center" vertical="center"/>
    </xf>
    <xf numFmtId="4" fontId="42" fillId="0" borderId="11" xfId="0" applyNumberFormat="1" applyFont="1" applyBorder="1" applyAlignment="1">
      <alignment horizontal="center"/>
    </xf>
    <xf numFmtId="174" fontId="19" fillId="0" borderId="0" xfId="0" applyNumberFormat="1" applyFont="1" applyFill="1" applyAlignment="1">
      <alignment horizontal="center" vertical="center"/>
    </xf>
    <xf numFmtId="0" fontId="44" fillId="42" borderId="53" xfId="0" applyFont="1" applyFill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/>
    </xf>
    <xf numFmtId="0" fontId="34" fillId="0" borderId="57" xfId="0" applyFont="1" applyFill="1" applyBorder="1" applyAlignment="1">
      <alignment wrapText="1"/>
    </xf>
    <xf numFmtId="174" fontId="0" fillId="53" borderId="11" xfId="0" applyNumberFormat="1" applyFill="1" applyBorder="1" applyAlignment="1">
      <alignment horizontal="center"/>
    </xf>
    <xf numFmtId="172" fontId="33" fillId="31" borderId="51" xfId="0" applyNumberFormat="1" applyFont="1" applyFill="1" applyBorder="1" applyAlignment="1">
      <alignment horizontal="center" vertical="center" wrapText="1"/>
    </xf>
    <xf numFmtId="0" fontId="41" fillId="0" borderId="14" xfId="0" applyFont="1" applyBorder="1" applyAlignment="1">
      <alignment wrapText="1"/>
    </xf>
    <xf numFmtId="0" fontId="41" fillId="0" borderId="23" xfId="0" applyFont="1" applyBorder="1" applyAlignment="1">
      <alignment wrapText="1"/>
    </xf>
    <xf numFmtId="4" fontId="18" fillId="0" borderId="0" xfId="0" applyNumberFormat="1" applyFont="1" applyFill="1" applyAlignment="1">
      <alignment horizontal="center" vertical="center"/>
    </xf>
    <xf numFmtId="175" fontId="18" fillId="26" borderId="0" xfId="0" applyNumberFormat="1" applyFont="1" applyFill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58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61" xfId="0" applyFont="1" applyFill="1" applyBorder="1" applyAlignment="1">
      <alignment horizontal="center" vertical="center" wrapText="1"/>
    </xf>
    <xf numFmtId="0" fontId="18" fillId="0" borderId="41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25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/>
    </xf>
    <xf numFmtId="0" fontId="18" fillId="0" borderId="62" xfId="0" applyFont="1" applyFill="1" applyBorder="1" applyAlignment="1">
      <alignment horizontal="center" vertical="center"/>
    </xf>
    <xf numFmtId="0" fontId="18" fillId="0" borderId="53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50" xfId="0" applyFont="1" applyFill="1" applyBorder="1" applyAlignment="1">
      <alignment horizontal="center" vertical="center" wrapText="1"/>
    </xf>
    <xf numFmtId="0" fontId="32" fillId="32" borderId="21" xfId="0" applyFont="1" applyFill="1" applyBorder="1" applyAlignment="1">
      <alignment horizontal="center" vertical="center" wrapText="1"/>
    </xf>
    <xf numFmtId="0" fontId="32" fillId="32" borderId="50" xfId="0" applyFont="1" applyFill="1" applyBorder="1" applyAlignment="1">
      <alignment horizontal="center" vertical="center" wrapText="1"/>
    </xf>
    <xf numFmtId="0" fontId="35" fillId="0" borderId="0" xfId="0" applyFont="1" applyAlignment="1">
      <alignment horizontal="justify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6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6" xfId="0" applyFont="1" applyFill="1" applyBorder="1" applyAlignment="1">
      <alignment horizontal="center" vertical="center" textRotation="90" wrapText="1"/>
    </xf>
    <xf numFmtId="0" fontId="21" fillId="25" borderId="59" xfId="0" applyFont="1" applyFill="1" applyBorder="1" applyAlignment="1">
      <alignment horizontal="left" vertical="center" wrapText="1"/>
    </xf>
    <xf numFmtId="0" fontId="21" fillId="25" borderId="44" xfId="0" applyFont="1" applyFill="1" applyBorder="1" applyAlignment="1">
      <alignment horizontal="left" vertical="center" wrapText="1"/>
    </xf>
    <xf numFmtId="0" fontId="21" fillId="25" borderId="60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38" borderId="50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5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4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18" fillId="26" borderId="50" xfId="0" applyFont="1" applyFill="1" applyBorder="1" applyAlignment="1">
      <alignment horizontal="center" vertical="center" wrapText="1"/>
    </xf>
    <xf numFmtId="0" fontId="20" fillId="25" borderId="56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0" fillId="25" borderId="64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4" xfId="0" applyFont="1" applyFill="1" applyBorder="1" applyAlignment="1">
      <alignment horizontal="center" vertical="center" wrapText="1"/>
    </xf>
    <xf numFmtId="0" fontId="21" fillId="25" borderId="66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50" xfId="0" applyFont="1" applyFill="1" applyBorder="1" applyAlignment="1">
      <alignment horizontal="center" vertical="center" wrapText="1"/>
    </xf>
  </cellXfs>
  <cellStyles count="4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  <cellStyle name="Обычный 3" xfId="44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42;&#1057;&#1045;&#1052;\2022-2024\&#1042;&#1099;&#1088;&#1072;&#1074;&#1085;&#1080;&#1074;&#1072;&#1085;&#1080;&#1077;\&#1053;&#1086;&#1074;&#1099;&#1081;%20&#1088;&#1072;&#1089;&#1095;&#1077;&#1090;%20&#1074;&#1099;&#1088;&#1072;&#1074;&#1085;%20&#1080;&#1079;%20&#1052;&#1060;%202022-2024\&#1060;&#1086;&#1088;&#1084;&#1072;%20&#1088;&#1072;&#1089;&#1095;&#1077;&#1090;&#1072;%20&#1088;&#1072;&#1079;&#1084;&#1077;&#1088;&#1072;%20&#1076;&#1086;&#1090;&#1072;&#1094;&#1080;&#1080;%20&#1087;&#1086;&#1089;&#1077;&#1083;&#1077;&#1085;&#1080;&#1103;&#1084;%201071-&#1054;&#1047;_21%20&#1075;&#1086;&#1076;%20&#1082;%20&#1087;&#1088;&#1086;&#1077;&#1082;&#1090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Расчет КРП"/>
      <sheetName val="Расчет дотации"/>
    </sheetNames>
    <sheetDataSet>
      <sheetData sheetId="0">
        <row r="11">
          <cell r="C11">
            <v>9596</v>
          </cell>
          <cell r="E11">
            <v>0</v>
          </cell>
          <cell r="F11">
            <v>9</v>
          </cell>
          <cell r="G11">
            <v>27754.7</v>
          </cell>
        </row>
        <row r="12">
          <cell r="C12">
            <v>2200</v>
          </cell>
          <cell r="E12">
            <v>26</v>
          </cell>
          <cell r="F12">
            <v>3</v>
          </cell>
          <cell r="G12">
            <v>20541.599999999999</v>
          </cell>
        </row>
        <row r="13">
          <cell r="C13">
            <v>2836</v>
          </cell>
          <cell r="E13">
            <v>10</v>
          </cell>
          <cell r="F13">
            <v>2</v>
          </cell>
          <cell r="G13">
            <v>18520.8</v>
          </cell>
        </row>
        <row r="14">
          <cell r="C14">
            <v>1362</v>
          </cell>
          <cell r="E14">
            <v>31</v>
          </cell>
          <cell r="F14">
            <v>1</v>
          </cell>
          <cell r="G14">
            <v>1453.6</v>
          </cell>
        </row>
        <row r="15">
          <cell r="C15">
            <v>2092</v>
          </cell>
          <cell r="E15">
            <v>23</v>
          </cell>
          <cell r="F15">
            <v>3</v>
          </cell>
          <cell r="G15">
            <v>16828</v>
          </cell>
        </row>
        <row r="16">
          <cell r="C16">
            <v>1708</v>
          </cell>
          <cell r="E16">
            <v>47</v>
          </cell>
          <cell r="F16">
            <v>3</v>
          </cell>
          <cell r="G16">
            <v>17855.3</v>
          </cell>
        </row>
        <row r="17">
          <cell r="C17">
            <v>3275</v>
          </cell>
          <cell r="E17">
            <v>15</v>
          </cell>
          <cell r="F17">
            <v>5</v>
          </cell>
          <cell r="G17">
            <v>15455</v>
          </cell>
        </row>
        <row r="18">
          <cell r="C18">
            <v>2411</v>
          </cell>
          <cell r="E18">
            <v>35</v>
          </cell>
          <cell r="F18">
            <v>2</v>
          </cell>
          <cell r="G18">
            <v>21570</v>
          </cell>
        </row>
        <row r="19">
          <cell r="C19">
            <v>25480</v>
          </cell>
          <cell r="F19">
            <v>28</v>
          </cell>
        </row>
        <row r="20">
          <cell r="E20">
            <v>23.375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B30"/>
  <sheetViews>
    <sheetView tabSelected="1" view="pageBreakPreview" zoomScale="75" zoomScaleNormal="90" zoomScaleSheetLayoutView="75" workbookViewId="0">
      <selection activeCell="D15" sqref="D15"/>
    </sheetView>
  </sheetViews>
  <sheetFormatPr defaultRowHeight="15.6" x14ac:dyDescent="0.25"/>
  <cols>
    <col min="1" max="1" width="7.33203125" style="1" customWidth="1"/>
    <col min="2" max="2" width="39.77734375" style="1" customWidth="1"/>
    <col min="3" max="3" width="15.109375" style="2" customWidth="1"/>
    <col min="4" max="4" width="22.44140625" style="2" customWidth="1"/>
    <col min="5" max="7" width="19.44140625" style="3" customWidth="1"/>
    <col min="8" max="8" width="14.5546875" style="1" customWidth="1"/>
    <col min="9" max="9" width="16.21875" style="1" customWidth="1"/>
    <col min="10" max="10" width="14.5546875" style="1" customWidth="1"/>
    <col min="11" max="236" width="9.109375" style="1"/>
  </cols>
  <sheetData>
    <row r="2" spans="1:11" s="4" customFormat="1" ht="27" customHeight="1" x14ac:dyDescent="0.25">
      <c r="A2" s="203" t="s">
        <v>72</v>
      </c>
      <c r="B2" s="203"/>
      <c r="C2" s="203"/>
      <c r="D2" s="203"/>
      <c r="E2" s="203"/>
      <c r="F2" s="203"/>
      <c r="G2" s="203"/>
      <c r="H2" s="203"/>
      <c r="I2" s="203"/>
      <c r="J2" s="203"/>
    </row>
    <row r="3" spans="1:11" s="4" customFormat="1" ht="16.8" x14ac:dyDescent="0.25">
      <c r="B3" s="196"/>
      <c r="C3" s="196"/>
      <c r="D3" s="196"/>
      <c r="E3" s="196"/>
      <c r="F3" s="196"/>
      <c r="G3" s="196"/>
    </row>
    <row r="4" spans="1:11" ht="16.2" thickBot="1" x14ac:dyDescent="0.3">
      <c r="B4" s="5"/>
      <c r="C4" s="6"/>
      <c r="D4" s="6"/>
    </row>
    <row r="5" spans="1:11" ht="20.25" customHeight="1" thickBot="1" x14ac:dyDescent="0.3">
      <c r="A5" s="210" t="s">
        <v>0</v>
      </c>
      <c r="B5" s="197" t="s">
        <v>7</v>
      </c>
      <c r="C5" s="200" t="s">
        <v>56</v>
      </c>
      <c r="D5" s="201"/>
      <c r="E5" s="201"/>
      <c r="F5" s="201"/>
      <c r="G5" s="201"/>
      <c r="H5" s="201"/>
      <c r="I5" s="201"/>
      <c r="J5" s="202"/>
    </row>
    <row r="6" spans="1:11" s="7" customFormat="1" ht="51.75" customHeight="1" x14ac:dyDescent="0.25">
      <c r="A6" s="211"/>
      <c r="B6" s="198"/>
      <c r="C6" s="95" t="s">
        <v>198</v>
      </c>
      <c r="D6" s="95" t="s">
        <v>62</v>
      </c>
      <c r="E6" s="204" t="s">
        <v>70</v>
      </c>
      <c r="F6" s="205"/>
      <c r="G6" s="205"/>
      <c r="H6" s="205"/>
      <c r="I6" s="205"/>
      <c r="J6" s="206"/>
    </row>
    <row r="7" spans="1:11" s="7" customFormat="1" ht="19.5" customHeight="1" thickBot="1" x14ac:dyDescent="0.3">
      <c r="A7" s="211"/>
      <c r="B7" s="198"/>
      <c r="C7" s="96" t="s">
        <v>173</v>
      </c>
      <c r="D7" s="98" t="s">
        <v>197</v>
      </c>
      <c r="E7" s="207"/>
      <c r="F7" s="208"/>
      <c r="G7" s="208"/>
      <c r="H7" s="208"/>
      <c r="I7" s="208"/>
      <c r="J7" s="209"/>
    </row>
    <row r="8" spans="1:11" s="7" customFormat="1" ht="42.75" customHeight="1" thickBot="1" x14ac:dyDescent="0.3">
      <c r="A8" s="211"/>
      <c r="B8" s="199"/>
      <c r="C8" s="97" t="s">
        <v>1</v>
      </c>
      <c r="D8" s="97" t="s">
        <v>2</v>
      </c>
      <c r="E8" s="172" t="s">
        <v>174</v>
      </c>
      <c r="F8" s="173" t="s">
        <v>175</v>
      </c>
      <c r="G8" s="99" t="s">
        <v>176</v>
      </c>
      <c r="H8" s="99"/>
      <c r="I8" s="99"/>
      <c r="J8" s="100"/>
    </row>
    <row r="9" spans="1:11" s="8" customFormat="1" ht="15.75" customHeight="1" thickBot="1" x14ac:dyDescent="0.3">
      <c r="A9" s="212"/>
      <c r="B9" s="60" t="s">
        <v>3</v>
      </c>
      <c r="C9" s="58" t="s">
        <v>5</v>
      </c>
      <c r="D9" s="58" t="s">
        <v>4</v>
      </c>
      <c r="E9" s="93" t="s">
        <v>177</v>
      </c>
      <c r="F9" s="174" t="s">
        <v>178</v>
      </c>
      <c r="G9" s="93" t="s">
        <v>179</v>
      </c>
      <c r="H9" s="93"/>
      <c r="I9" s="93"/>
      <c r="J9" s="94"/>
    </row>
    <row r="10" spans="1:11" s="8" customFormat="1" ht="14.4" thickBot="1" x14ac:dyDescent="0.3">
      <c r="A10" s="37">
        <v>1</v>
      </c>
      <c r="B10" s="38">
        <v>2</v>
      </c>
      <c r="C10" s="38">
        <v>3</v>
      </c>
      <c r="D10" s="38">
        <v>4</v>
      </c>
      <c r="E10" s="38">
        <v>5</v>
      </c>
      <c r="F10" s="175">
        <v>6</v>
      </c>
      <c r="G10" s="38">
        <v>7</v>
      </c>
      <c r="H10" s="38">
        <v>8</v>
      </c>
      <c r="I10" s="38">
        <v>9</v>
      </c>
      <c r="J10" s="39">
        <v>10</v>
      </c>
      <c r="K10" s="8" t="s">
        <v>180</v>
      </c>
    </row>
    <row r="11" spans="1:11" x14ac:dyDescent="0.3">
      <c r="A11" s="40">
        <v>1</v>
      </c>
      <c r="B11" s="176" t="s">
        <v>181</v>
      </c>
      <c r="C11" s="177">
        <v>9596</v>
      </c>
      <c r="D11" s="178">
        <v>11428012</v>
      </c>
      <c r="E11" s="179">
        <v>0</v>
      </c>
      <c r="F11" s="180">
        <v>9</v>
      </c>
      <c r="G11" s="181">
        <v>27754.7</v>
      </c>
      <c r="H11" s="123"/>
      <c r="I11" s="123"/>
      <c r="J11" s="124"/>
      <c r="K11" s="182">
        <f>C11/G11</f>
        <v>0.34574324348668872</v>
      </c>
    </row>
    <row r="12" spans="1:11" x14ac:dyDescent="0.3">
      <c r="A12" s="41">
        <v>2</v>
      </c>
      <c r="B12" s="176" t="s">
        <v>182</v>
      </c>
      <c r="C12" s="177">
        <v>2200</v>
      </c>
      <c r="D12" s="18">
        <v>8823345</v>
      </c>
      <c r="E12" s="183">
        <v>26</v>
      </c>
      <c r="F12" s="184">
        <v>3</v>
      </c>
      <c r="G12" s="181">
        <v>20541.599999999999</v>
      </c>
      <c r="H12" s="125"/>
      <c r="I12" s="125"/>
      <c r="J12" s="126"/>
      <c r="K12" s="182">
        <f t="shared" ref="K12:K18" si="0">C12/G12</f>
        <v>0.10709973906609029</v>
      </c>
    </row>
    <row r="13" spans="1:11" x14ac:dyDescent="0.3">
      <c r="A13" s="41">
        <v>3</v>
      </c>
      <c r="B13" s="176" t="s">
        <v>183</v>
      </c>
      <c r="C13" s="177">
        <v>2836</v>
      </c>
      <c r="D13" s="18">
        <v>3098228</v>
      </c>
      <c r="E13" s="183">
        <v>10</v>
      </c>
      <c r="F13" s="184">
        <v>2</v>
      </c>
      <c r="G13" s="185">
        <v>18520.8</v>
      </c>
      <c r="H13" s="125"/>
      <c r="I13" s="125"/>
      <c r="J13" s="126"/>
      <c r="K13" s="182">
        <f t="shared" si="0"/>
        <v>0.15312513498337005</v>
      </c>
    </row>
    <row r="14" spans="1:11" x14ac:dyDescent="0.3">
      <c r="A14" s="41">
        <v>4</v>
      </c>
      <c r="B14" s="176" t="s">
        <v>184</v>
      </c>
      <c r="C14" s="177">
        <v>1362</v>
      </c>
      <c r="D14" s="18">
        <v>585314</v>
      </c>
      <c r="E14" s="183">
        <v>31</v>
      </c>
      <c r="F14" s="184">
        <v>1</v>
      </c>
      <c r="G14" s="185">
        <v>1453.6</v>
      </c>
      <c r="H14" s="125"/>
      <c r="I14" s="125"/>
      <c r="J14" s="126"/>
      <c r="K14" s="182">
        <f t="shared" si="0"/>
        <v>0.93698403962575683</v>
      </c>
    </row>
    <row r="15" spans="1:11" x14ac:dyDescent="0.3">
      <c r="A15" s="41">
        <v>5</v>
      </c>
      <c r="B15" s="176" t="s">
        <v>185</v>
      </c>
      <c r="C15" s="177">
        <v>2092</v>
      </c>
      <c r="D15" s="18">
        <v>4018993</v>
      </c>
      <c r="E15" s="183">
        <v>23</v>
      </c>
      <c r="F15" s="184">
        <v>3</v>
      </c>
      <c r="G15" s="185">
        <v>16828</v>
      </c>
      <c r="H15" s="125"/>
      <c r="I15" s="125"/>
      <c r="J15" s="126"/>
      <c r="K15" s="182">
        <f t="shared" si="0"/>
        <v>0.12431661516520086</v>
      </c>
    </row>
    <row r="16" spans="1:11" x14ac:dyDescent="0.3">
      <c r="A16" s="41">
        <v>6</v>
      </c>
      <c r="B16" s="176" t="s">
        <v>186</v>
      </c>
      <c r="C16" s="177">
        <v>1708</v>
      </c>
      <c r="D16" s="18">
        <v>2082358</v>
      </c>
      <c r="E16" s="183">
        <v>47</v>
      </c>
      <c r="F16" s="184">
        <v>3</v>
      </c>
      <c r="G16" s="185">
        <v>17855.3</v>
      </c>
      <c r="H16" s="125"/>
      <c r="I16" s="125"/>
      <c r="J16" s="126"/>
      <c r="K16" s="182">
        <f t="shared" si="0"/>
        <v>9.5657871892379301E-2</v>
      </c>
    </row>
    <row r="17" spans="1:11" x14ac:dyDescent="0.3">
      <c r="A17" s="41">
        <v>7</v>
      </c>
      <c r="B17" s="176" t="s">
        <v>187</v>
      </c>
      <c r="C17" s="177">
        <v>3275</v>
      </c>
      <c r="D17" s="18">
        <v>3123241</v>
      </c>
      <c r="E17" s="183">
        <v>15</v>
      </c>
      <c r="F17" s="184">
        <v>5</v>
      </c>
      <c r="G17" s="185">
        <v>15455</v>
      </c>
      <c r="H17" s="125"/>
      <c r="I17" s="125"/>
      <c r="J17" s="126"/>
      <c r="K17" s="182">
        <f t="shared" si="0"/>
        <v>0.2119055321902297</v>
      </c>
    </row>
    <row r="18" spans="1:11" ht="16.2" thickBot="1" x14ac:dyDescent="0.35">
      <c r="A18" s="41">
        <v>8</v>
      </c>
      <c r="B18" s="176" t="s">
        <v>188</v>
      </c>
      <c r="C18" s="177">
        <v>2411</v>
      </c>
      <c r="D18" s="18">
        <v>2137750</v>
      </c>
      <c r="E18" s="183">
        <v>35</v>
      </c>
      <c r="F18" s="184">
        <v>2</v>
      </c>
      <c r="G18" s="185">
        <v>21570</v>
      </c>
      <c r="H18" s="125"/>
      <c r="I18" s="125"/>
      <c r="J18" s="126"/>
      <c r="K18" s="182">
        <f t="shared" si="0"/>
        <v>0.11177561427909133</v>
      </c>
    </row>
    <row r="19" spans="1:11" ht="16.2" thickBot="1" x14ac:dyDescent="0.3">
      <c r="A19" s="20"/>
      <c r="B19" s="21" t="s">
        <v>6</v>
      </c>
      <c r="C19" s="22">
        <f>SUM(C11:C18)</f>
        <v>25480</v>
      </c>
      <c r="D19" s="22">
        <f>SUM(D11:D18)</f>
        <v>35297241</v>
      </c>
      <c r="E19" s="22">
        <f>SUM(E11:E18)</f>
        <v>187</v>
      </c>
      <c r="F19" s="22">
        <f t="shared" ref="F19:G19" si="1">SUM(F11:F18)</f>
        <v>28</v>
      </c>
      <c r="G19" s="22">
        <f t="shared" si="1"/>
        <v>139979</v>
      </c>
      <c r="H19" s="42"/>
      <c r="I19" s="42"/>
      <c r="J19" s="43"/>
    </row>
    <row r="20" spans="1:11" x14ac:dyDescent="0.25">
      <c r="B20" s="1" t="s">
        <v>189</v>
      </c>
      <c r="C20" s="186">
        <f t="shared" ref="C20:D20" si="2">C19/8</f>
        <v>3185</v>
      </c>
      <c r="D20" s="186">
        <f t="shared" si="2"/>
        <v>4412155.125</v>
      </c>
      <c r="E20" s="186">
        <f>E19/8</f>
        <v>23.375</v>
      </c>
      <c r="F20" s="186">
        <f t="shared" ref="F20:G20" si="3">F19/8</f>
        <v>3.5</v>
      </c>
      <c r="G20" s="186">
        <f t="shared" si="3"/>
        <v>17497.375</v>
      </c>
    </row>
    <row r="23" spans="1:11" x14ac:dyDescent="0.25">
      <c r="D23" s="194"/>
    </row>
    <row r="24" spans="1:11" x14ac:dyDescent="0.25">
      <c r="D24" s="194"/>
    </row>
    <row r="25" spans="1:11" x14ac:dyDescent="0.25">
      <c r="D25" s="194"/>
    </row>
    <row r="26" spans="1:11" x14ac:dyDescent="0.25">
      <c r="D26" s="194"/>
    </row>
    <row r="27" spans="1:11" x14ac:dyDescent="0.25">
      <c r="D27" s="194"/>
    </row>
    <row r="28" spans="1:11" x14ac:dyDescent="0.25">
      <c r="D28" s="194"/>
    </row>
    <row r="29" spans="1:11" x14ac:dyDescent="0.25">
      <c r="D29" s="194"/>
    </row>
    <row r="30" spans="1:11" x14ac:dyDescent="0.25">
      <c r="D30" s="194"/>
    </row>
  </sheetData>
  <sheetProtection selectLockedCells="1" selectUnlockedCells="1"/>
  <protectedRanges>
    <protectedRange sqref="B11:B18" name="Диапазон3_2_2"/>
    <protectedRange sqref="B11:B18" name="Диапазон2_2_2"/>
  </protectedRanges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opLeftCell="A4" zoomScale="110" zoomScaleNormal="110" workbookViewId="0">
      <selection activeCell="A17" sqref="A17:F17"/>
    </sheetView>
  </sheetViews>
  <sheetFormatPr defaultColWidth="9.109375" defaultRowHeight="15.6" x14ac:dyDescent="0.25"/>
  <cols>
    <col min="1" max="1" width="6.109375" style="9" customWidth="1"/>
    <col min="2" max="2" width="37.5546875" style="9" customWidth="1"/>
    <col min="3" max="3" width="25.33203125" style="9" customWidth="1"/>
    <col min="4" max="4" width="24.6640625" style="9" customWidth="1"/>
    <col min="5" max="5" width="43.6640625" style="9" customWidth="1"/>
    <col min="6" max="6" width="18.33203125" style="9" customWidth="1"/>
    <col min="7" max="7" width="13.44140625" style="9" bestFit="1" customWidth="1"/>
    <col min="8" max="16384" width="9.109375" style="9"/>
  </cols>
  <sheetData>
    <row r="1" spans="1:7" x14ac:dyDescent="0.25">
      <c r="C1" s="10"/>
      <c r="D1" s="10"/>
      <c r="E1" s="10"/>
    </row>
    <row r="2" spans="1:7" s="11" customFormat="1" ht="18" x14ac:dyDescent="0.25">
      <c r="A2" s="213" t="s">
        <v>63</v>
      </c>
      <c r="B2" s="213"/>
      <c r="C2" s="213"/>
      <c r="D2" s="213"/>
      <c r="E2" s="213"/>
      <c r="F2" s="213"/>
    </row>
    <row r="3" spans="1:7" ht="16.2" thickBot="1" x14ac:dyDescent="0.3">
      <c r="B3" s="12"/>
    </row>
    <row r="4" spans="1:7" s="7" customFormat="1" ht="50.25" customHeight="1" thickBot="1" x14ac:dyDescent="0.3">
      <c r="A4" s="214" t="s">
        <v>0</v>
      </c>
      <c r="B4" s="214" t="s">
        <v>61</v>
      </c>
      <c r="C4" s="92" t="s">
        <v>190</v>
      </c>
      <c r="D4" s="92" t="s">
        <v>191</v>
      </c>
      <c r="E4" s="92" t="s">
        <v>200</v>
      </c>
      <c r="F4" s="216" t="s">
        <v>192</v>
      </c>
    </row>
    <row r="5" spans="1:7" s="13" customFormat="1" ht="45.75" customHeight="1" thickBot="1" x14ac:dyDescent="0.3">
      <c r="A5" s="215"/>
      <c r="B5" s="215"/>
      <c r="C5" s="187" t="s">
        <v>193</v>
      </c>
      <c r="D5" s="187" t="s">
        <v>194</v>
      </c>
      <c r="E5" s="187" t="s">
        <v>195</v>
      </c>
      <c r="F5" s="217"/>
    </row>
    <row r="6" spans="1:7" s="14" customFormat="1" ht="15" thickBot="1" x14ac:dyDescent="0.3">
      <c r="A6" s="44">
        <v>1</v>
      </c>
      <c r="B6" s="45">
        <f t="shared" ref="B6:E6" si="0">A6+1</f>
        <v>2</v>
      </c>
      <c r="C6" s="45">
        <f t="shared" si="0"/>
        <v>3</v>
      </c>
      <c r="D6" s="45">
        <f t="shared" si="0"/>
        <v>4</v>
      </c>
      <c r="E6" s="45">
        <f t="shared" si="0"/>
        <v>5</v>
      </c>
      <c r="F6" s="45">
        <f>E6+1</f>
        <v>6</v>
      </c>
    </row>
    <row r="7" spans="1:7" x14ac:dyDescent="0.25">
      <c r="A7" s="188">
        <v>1</v>
      </c>
      <c r="B7" s="189" t="s">
        <v>181</v>
      </c>
      <c r="C7" s="190">
        <f>2-(('[1]Исходные данные'!E11+'[1]Исходные данные'!E20)/('[1]Исходные данные'!E11+'[1]Исходные данные'!E20))</f>
        <v>1</v>
      </c>
      <c r="D7" s="190">
        <f>(1+'[1]Исходные данные'!F11/'[1]Исходные данные'!F19)/(1+'[1]Исходные данные'!C11/'[1]Исходные данные'!C19)</f>
        <v>0.95991561181434593</v>
      </c>
      <c r="E7" s="190">
        <f>2-(('[1]Исходные данные'!C11/'[1]Исходные данные'!G11)+(('[1]Исходные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1.493608228096591</v>
      </c>
      <c r="F7" s="191">
        <f>C7*D7*E7</f>
        <v>1.4337378560842804</v>
      </c>
      <c r="G7" s="19"/>
    </row>
    <row r="8" spans="1:7" s="15" customFormat="1" x14ac:dyDescent="0.25">
      <c r="A8" s="90">
        <v>2</v>
      </c>
      <c r="B8" s="189" t="s">
        <v>182</v>
      </c>
      <c r="C8" s="190">
        <f>2-(('[1]Исходные данные'!E11+'[1]Исходные данные'!E20)/('[1]Исходные данные'!E12+'[1]Исходные данные'!E20))</f>
        <v>1.5265822784810126</v>
      </c>
      <c r="D8" s="190">
        <f>(1+'[1]Исходные данные'!F12/'[1]Исходные данные'!F19)/(1+'[1]Исходные данные'!C12/'[1]Исходные данные'!C19)</f>
        <v>1.0191473988439306</v>
      </c>
      <c r="E8" s="190">
        <f>2-(('[1]Исходные данные'!C12/'[1]Исходные данные'!G12)+(('[1]Исходные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1.6928387587690308</v>
      </c>
      <c r="F8" s="191">
        <f t="shared" ref="F8:F14" si="1">C8*D8*E8</f>
        <v>2.6337394613923353</v>
      </c>
      <c r="G8" s="19"/>
    </row>
    <row r="9" spans="1:7" s="15" customFormat="1" x14ac:dyDescent="0.25">
      <c r="A9" s="91">
        <v>3</v>
      </c>
      <c r="B9" s="189" t="s">
        <v>183</v>
      </c>
      <c r="C9" s="190">
        <f>2-(('[1]Исходные данные'!E11+'[1]Исходные данные'!E20)/('[1]Исходные данные'!E13+'[1]Исходные данные'!E20))</f>
        <v>1.2996254681647939</v>
      </c>
      <c r="D9" s="190">
        <f>(1+'[1]Исходные данные'!F13/'[1]Исходные данные'!F19)/(1+'[1]Исходные данные'!C13/'[1]Исходные данные'!C19)</f>
        <v>0.9641192258793615</v>
      </c>
      <c r="E9" s="190">
        <f>2-(('[1]Исходные данные'!C13/'[1]Исходные данные'!G13)+(('[1]Исходные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1.6544146496558505</v>
      </c>
      <c r="F9" s="191">
        <f t="shared" si="1"/>
        <v>2.0729714645859803</v>
      </c>
      <c r="G9" s="19"/>
    </row>
    <row r="10" spans="1:7" s="15" customFormat="1" x14ac:dyDescent="0.25">
      <c r="A10" s="90">
        <v>4</v>
      </c>
      <c r="B10" s="189" t="s">
        <v>184</v>
      </c>
      <c r="C10" s="190">
        <f>2-(('[1]Исходные данные'!E11+'[1]Исходные данные'!E20)/('[1]Исходные данные'!E14+'[1]Исходные данные'!E20))</f>
        <v>1.5701149425287357</v>
      </c>
      <c r="D10" s="190">
        <f>(1+'[1]Исходные данные'!F14/'[1]Исходные данные'!F19)/(1+'[1]Исходные данные'!C14/'[1]Исходные данные'!C19)</f>
        <v>0.98316071827732665</v>
      </c>
      <c r="E10" s="190">
        <f>2-(('[1]Исходные данные'!C14/'[1]Исходные данные'!G14)+(('[1]Исходные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1.0000133244516247</v>
      </c>
      <c r="F10" s="191">
        <f t="shared" si="1"/>
        <v>1.5436959033018365</v>
      </c>
      <c r="G10" s="19"/>
    </row>
    <row r="11" spans="1:7" s="15" customFormat="1" x14ac:dyDescent="0.25">
      <c r="A11" s="91">
        <v>5</v>
      </c>
      <c r="B11" s="189" t="s">
        <v>185</v>
      </c>
      <c r="C11" s="190">
        <f>2-(('[1]Исходные данные'!E11+'[1]Исходные данные'!E20)/('[1]Исходные данные'!E15+'[1]Исходные данные'!E20))</f>
        <v>1.4959568733153639</v>
      </c>
      <c r="D11" s="190">
        <f>(1+'[1]Исходные данные'!F15/'[1]Исходные данные'!F19)/(1+'[1]Исходные данные'!C15/'[1]Исходные данные'!C19)</f>
        <v>1.0231394167996519</v>
      </c>
      <c r="E11" s="190">
        <f>2-(('[1]Исходные данные'!C15/'[1]Исходные данные'!G15)+(('[1]Исходные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1.6784653218297962</v>
      </c>
      <c r="F11" s="191">
        <f t="shared" si="1"/>
        <v>2.5690127679917376</v>
      </c>
      <c r="G11" s="19"/>
    </row>
    <row r="12" spans="1:7" s="15" customFormat="1" x14ac:dyDescent="0.25">
      <c r="A12" s="90">
        <v>6</v>
      </c>
      <c r="B12" s="189" t="s">
        <v>186</v>
      </c>
      <c r="C12" s="190">
        <f>2-(('[1]Исходные данные'!E11+'[1]Исходные данные'!E20)/('[1]Исходные данные'!E16+'[1]Исходные данные'!E20))</f>
        <v>1.6678507992895204</v>
      </c>
      <c r="D12" s="190">
        <f>(1+'[1]Исходные данные'!F16/'[1]Исходные данные'!F19)/(1+'[1]Исходные данные'!C16/'[1]Исходные данные'!C19)</f>
        <v>1.037590113285273</v>
      </c>
      <c r="E12" s="190">
        <f>2-(('[1]Исходные данные'!C16/'[1]Исходные данные'!G16)+(('[1]Исходные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1.7023909536818427</v>
      </c>
      <c r="F12" s="191">
        <f t="shared" si="1"/>
        <v>2.9460650037564591</v>
      </c>
      <c r="G12" s="19"/>
    </row>
    <row r="13" spans="1:7" s="15" customFormat="1" x14ac:dyDescent="0.25">
      <c r="A13" s="91">
        <v>7</v>
      </c>
      <c r="B13" s="189" t="s">
        <v>187</v>
      </c>
      <c r="C13" s="190">
        <f>2-(('[1]Исходные данные'!E11+'[1]Исходные данные'!E20)/('[1]Исходные данные'!E17+'[1]Исходные данные'!E20))</f>
        <v>1.3908794788273615</v>
      </c>
      <c r="D13" s="190">
        <f>(1+'[1]Исходные данные'!F17/'[1]Исходные данные'!F19)/(1+'[1]Исходные данные'!C17/'[1]Исходные данные'!C19)</f>
        <v>1.0443401147626499</v>
      </c>
      <c r="E13" s="190">
        <f>2-(('[1]Исходные данные'!C17/'[1]Исходные данные'!G17)+(('[1]Исходные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1.6053420811101775</v>
      </c>
      <c r="F13" s="191">
        <f t="shared" si="1"/>
        <v>2.3318416217749292</v>
      </c>
      <c r="G13" s="19"/>
    </row>
    <row r="14" spans="1:7" s="15" customFormat="1" x14ac:dyDescent="0.25">
      <c r="A14" s="90">
        <v>8</v>
      </c>
      <c r="B14" s="189" t="s">
        <v>188</v>
      </c>
      <c r="C14" s="190">
        <f>2-(('[1]Исходные данные'!E11+'[1]Исходные данные'!E20)/('[1]Исходные данные'!E18+'[1]Исходные данные'!E20))</f>
        <v>1.5995717344753748</v>
      </c>
      <c r="D14" s="190">
        <f>(1+'[1]Исходные данные'!F18/'[1]Исходные данные'!F19)/(1+'[1]Исходные данные'!C18/'[1]Исходные данные'!C19)</f>
        <v>0.97881036893621598</v>
      </c>
      <c r="E14" s="190">
        <f>2-(('[1]Исходные данные'!C18/'[1]Исходные данные'!G18)+(('[1]Исходные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данные'!G18))/8)/(0.937+(('[1]Исходные данные'!C11/'[1]Исходные данные'!G11)+('[1]Исходные данные'!C12/'[1]Исходные данные'!G12)+('[1]Исходные данные'!C13/'[1]Исходные данные'!G13)+('[1]Исходные данные'!C14/'[1]Исходные данные'!G14)+('[1]Исходные данные'!C15/'[1]Исходные данные'!G15)+('[1]Исходные данные'!C16/'[1]Исходные данные'!G16)+('[1]Исходные данные'!C17/'[1]Исходные данные'!G17)+('[1]Исходные данные'!C18/'[1]Исходные данные'!G18))/8)</f>
        <v>1.6889351239212855</v>
      </c>
      <c r="F14" s="191">
        <f t="shared" si="1"/>
        <v>2.6443275528496386</v>
      </c>
      <c r="G14" s="19"/>
    </row>
    <row r="15" spans="1:7" s="15" customFormat="1" x14ac:dyDescent="0.25">
      <c r="A15" s="91">
        <v>9</v>
      </c>
      <c r="B15" s="141"/>
      <c r="C15" s="140"/>
      <c r="D15" s="140"/>
      <c r="E15" s="140"/>
      <c r="F15" s="139"/>
      <c r="G15" s="19"/>
    </row>
    <row r="17" spans="1:6" ht="116.25" customHeight="1" x14ac:dyDescent="0.25">
      <c r="A17" s="218" t="s">
        <v>82</v>
      </c>
      <c r="B17" s="218"/>
      <c r="C17" s="218"/>
      <c r="D17" s="218"/>
      <c r="E17" s="218"/>
      <c r="F17" s="218"/>
    </row>
  </sheetData>
  <sheetProtection selectLockedCells="1" selectUnlockedCells="1"/>
  <protectedRanges>
    <protectedRange sqref="B7:B14" name="Диапазон3_2_1"/>
    <protectedRange sqref="B7:B14" name="Диапазон2_2_1"/>
  </protectedRanges>
  <mergeCells count="5">
    <mergeCell ref="A2:F2"/>
    <mergeCell ref="A4:A5"/>
    <mergeCell ref="B4:B5"/>
    <mergeCell ref="F4:F5"/>
    <mergeCell ref="A17:F17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75"/>
  <sheetViews>
    <sheetView topLeftCell="A5" zoomScaleNormal="100" workbookViewId="0">
      <selection activeCell="E11" sqref="E11"/>
    </sheetView>
  </sheetViews>
  <sheetFormatPr defaultColWidth="15.33203125" defaultRowHeight="15.6" x14ac:dyDescent="0.25"/>
  <cols>
    <col min="1" max="1" width="34.6640625" style="16" customWidth="1"/>
    <col min="2" max="2" width="19.88671875" style="16" customWidth="1"/>
    <col min="3" max="3" width="12.109375" style="16" customWidth="1"/>
    <col min="4" max="4" width="17" style="16" customWidth="1"/>
    <col min="5" max="5" width="12.88671875" style="16" customWidth="1"/>
    <col min="6" max="6" width="17.44140625" style="16" customWidth="1"/>
    <col min="7" max="7" width="15.5546875" style="16" customWidth="1"/>
    <col min="8" max="8" width="18.44140625" style="16" customWidth="1"/>
    <col min="9" max="10" width="15.44140625" style="16" customWidth="1"/>
    <col min="11" max="11" width="18" style="16" customWidth="1"/>
    <col min="12" max="12" width="19.33203125" style="16" customWidth="1"/>
    <col min="13" max="13" width="14.44140625" style="16" customWidth="1"/>
    <col min="14" max="14" width="13.33203125" style="16" customWidth="1"/>
    <col min="15" max="15" width="16" style="16" customWidth="1"/>
    <col min="16" max="16" width="16.88671875" style="16" customWidth="1"/>
    <col min="17" max="17" width="16.6640625" style="16" customWidth="1"/>
    <col min="18" max="18" width="16.88671875" style="16" customWidth="1"/>
    <col min="19" max="19" width="13.6640625" style="16" customWidth="1"/>
    <col min="20" max="20" width="11.5546875" style="16" customWidth="1"/>
    <col min="21" max="21" width="15" style="16" customWidth="1"/>
    <col min="22" max="22" width="16.5546875" style="16" customWidth="1"/>
    <col min="23" max="23" width="16.33203125" style="16" customWidth="1"/>
    <col min="24" max="24" width="15.6640625" style="16" customWidth="1"/>
    <col min="25" max="25" width="14.88671875" style="16" customWidth="1"/>
    <col min="26" max="26" width="10.5546875" style="16" customWidth="1"/>
    <col min="27" max="27" width="14.88671875" style="16" customWidth="1"/>
    <col min="28" max="28" width="15.88671875" style="16" customWidth="1"/>
    <col min="29" max="29" width="16.33203125" style="16" customWidth="1"/>
    <col min="30" max="30" width="15.88671875" style="16" customWidth="1"/>
    <col min="31" max="31" width="13.109375" style="16" customWidth="1"/>
    <col min="32" max="32" width="11.33203125" style="16" customWidth="1"/>
    <col min="33" max="33" width="14.88671875" style="16" customWidth="1"/>
    <col min="34" max="34" width="18.88671875" style="16" customWidth="1"/>
    <col min="35" max="35" width="16.33203125" style="16" customWidth="1"/>
    <col min="36" max="36" width="14.5546875" style="16" customWidth="1"/>
    <col min="37" max="37" width="13.44140625" style="16" customWidth="1"/>
    <col min="38" max="39" width="11.109375" style="16" customWidth="1"/>
    <col min="40" max="40" width="16" style="16" customWidth="1"/>
    <col min="41" max="41" width="15.6640625" style="16" customWidth="1"/>
    <col min="42" max="42" width="14.5546875" style="16" customWidth="1"/>
    <col min="43" max="43" width="12.5546875" style="16" customWidth="1"/>
    <col min="44" max="44" width="10.33203125" style="16" customWidth="1"/>
    <col min="45" max="45" width="13.6640625" style="16" customWidth="1"/>
    <col min="46" max="46" width="16.5546875" style="16" customWidth="1"/>
    <col min="47" max="47" width="16.44140625" style="16" customWidth="1"/>
    <col min="48" max="48" width="15" style="16" customWidth="1"/>
    <col min="49" max="49" width="12.5546875" style="16" customWidth="1"/>
    <col min="50" max="50" width="9.44140625" style="16" customWidth="1"/>
    <col min="51" max="51" width="14.33203125" style="16" customWidth="1"/>
    <col min="52" max="52" width="16.88671875" style="16" customWidth="1"/>
    <col min="53" max="53" width="13.109375" style="16" customWidth="1"/>
    <col min="54" max="54" width="14.33203125" style="16" customWidth="1"/>
    <col min="55" max="55" width="11.5546875" style="16" customWidth="1"/>
    <col min="56" max="56" width="10.44140625" style="16" customWidth="1"/>
    <col min="57" max="57" width="11.88671875" style="16" customWidth="1"/>
    <col min="58" max="58" width="16.44140625" style="16" customWidth="1"/>
    <col min="59" max="59" width="15" style="16" customWidth="1"/>
    <col min="60" max="60" width="18.5546875" style="16" customWidth="1"/>
    <col min="61" max="61" width="11.33203125" style="16" customWidth="1"/>
    <col min="62" max="62" width="12.33203125" style="16" customWidth="1"/>
    <col min="63" max="63" width="13.5546875" style="16" customWidth="1"/>
    <col min="64" max="64" width="16.109375" style="16" customWidth="1"/>
    <col min="65" max="65" width="16.44140625" style="16" customWidth="1"/>
    <col min="66" max="66" width="18.109375" style="16" customWidth="1"/>
    <col min="67" max="67" width="12" style="16" customWidth="1"/>
    <col min="68" max="68" width="12.5546875" style="16" customWidth="1"/>
    <col min="69" max="69" width="15.44140625" style="16" customWidth="1"/>
    <col min="70" max="70" width="16.88671875" style="16" customWidth="1"/>
    <col min="71" max="71" width="15" style="16" customWidth="1"/>
    <col min="72" max="72" width="18.109375" style="16" customWidth="1"/>
    <col min="73" max="73" width="12" style="16" customWidth="1"/>
    <col min="74" max="74" width="12.5546875" style="16" customWidth="1"/>
    <col min="75" max="75" width="15.44140625" style="16" customWidth="1"/>
    <col min="76" max="76" width="16.88671875" style="16" customWidth="1"/>
    <col min="77" max="77" width="15" style="16" customWidth="1"/>
    <col min="78" max="78" width="19.6640625" style="16" customWidth="1"/>
    <col min="79" max="79" width="15.88671875" style="16" customWidth="1"/>
    <col min="80" max="81" width="15" style="16" customWidth="1"/>
    <col min="82" max="82" width="16.5546875" style="16" customWidth="1"/>
    <col min="83" max="83" width="15" style="16" customWidth="1"/>
    <col min="84" max="84" width="16.5546875" style="16" customWidth="1"/>
    <col min="85" max="87" width="15" style="16" customWidth="1"/>
    <col min="88" max="88" width="16.5546875" style="16" customWidth="1"/>
    <col min="89" max="89" width="15" style="16" customWidth="1"/>
    <col min="90" max="90" width="16.33203125" style="16" customWidth="1"/>
    <col min="91" max="93" width="15" style="16" customWidth="1"/>
    <col min="94" max="94" width="16.33203125" style="16" customWidth="1"/>
    <col min="95" max="95" width="15" style="16" customWidth="1"/>
    <col min="96" max="96" width="16.554687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8671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33203125" style="16" customWidth="1"/>
    <col min="113" max="113" width="15" style="16" customWidth="1"/>
    <col min="114" max="114" width="15.88671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332031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4140625" style="16" customWidth="1"/>
    <col min="131" max="135" width="15" style="16" customWidth="1"/>
    <col min="136" max="136" width="16.44140625" style="16" customWidth="1"/>
    <col min="137" max="141" width="15" style="16" customWidth="1"/>
    <col min="142" max="142" width="16.6640625" style="16" customWidth="1"/>
    <col min="143" max="147" width="15" style="16" customWidth="1"/>
    <col min="148" max="148" width="17.5546875" style="16" customWidth="1"/>
    <col min="149" max="153" width="15" style="16" customWidth="1"/>
    <col min="154" max="154" width="16.109375" style="16" customWidth="1"/>
    <col min="155" max="159" width="15" style="16" customWidth="1"/>
    <col min="160" max="160" width="16.44140625" style="16" customWidth="1"/>
    <col min="161" max="165" width="15" style="16" customWidth="1"/>
    <col min="166" max="166" width="16.88671875" style="16" customWidth="1"/>
    <col min="167" max="171" width="15" style="16" customWidth="1"/>
    <col min="172" max="172" width="16.88671875" style="16" customWidth="1"/>
    <col min="173" max="177" width="15" style="16" customWidth="1"/>
    <col min="178" max="178" width="16.44140625" style="16" customWidth="1"/>
    <col min="179" max="183" width="15" style="16" customWidth="1"/>
    <col min="184" max="184" width="17.109375" style="16" customWidth="1"/>
    <col min="185" max="186" width="15" style="16" customWidth="1"/>
    <col min="187" max="187" width="18.5546875" style="16" customWidth="1"/>
    <col min="188" max="188" width="15" style="16" customWidth="1"/>
    <col min="189" max="189" width="18.44140625" style="16" bestFit="1" customWidth="1"/>
    <col min="190" max="190" width="16.6640625" style="16" customWidth="1"/>
    <col min="191" max="191" width="15" style="16" customWidth="1"/>
    <col min="192" max="192" width="21.33203125" style="16" customWidth="1"/>
    <col min="193" max="193" width="20.5546875" style="16" customWidth="1"/>
    <col min="194" max="194" width="18.109375" style="16" customWidth="1"/>
    <col min="195" max="195" width="18.88671875" style="16" customWidth="1"/>
    <col min="196" max="16384" width="15.33203125" style="16"/>
  </cols>
  <sheetData>
    <row r="1" spans="1:196" s="17" customFormat="1" ht="22.5" customHeight="1" x14ac:dyDescent="0.25">
      <c r="A1" s="128"/>
      <c r="B1" s="128" t="s">
        <v>196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6" s="5" customFormat="1" ht="16.2" thickBot="1" x14ac:dyDescent="0.3"/>
    <row r="3" spans="1:196" s="36" customFormat="1" ht="34.5" customHeight="1" thickBot="1" x14ac:dyDescent="0.3">
      <c r="A3" s="245" t="s">
        <v>7</v>
      </c>
      <c r="B3" s="248" t="s">
        <v>58</v>
      </c>
      <c r="C3" s="251" t="s">
        <v>9</v>
      </c>
      <c r="D3" s="252"/>
      <c r="E3" s="252"/>
      <c r="F3" s="253"/>
      <c r="G3" s="219" t="s">
        <v>59</v>
      </c>
      <c r="H3" s="220"/>
      <c r="I3" s="220"/>
      <c r="J3" s="221"/>
      <c r="K3" s="227" t="s">
        <v>79</v>
      </c>
      <c r="L3" s="71" t="s">
        <v>51</v>
      </c>
      <c r="M3" s="224" t="s">
        <v>75</v>
      </c>
      <c r="N3" s="225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  <c r="AH3" s="225"/>
      <c r="AI3" s="225"/>
      <c r="AJ3" s="225"/>
      <c r="AK3" s="225"/>
      <c r="AL3" s="225"/>
      <c r="AM3" s="225"/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5"/>
      <c r="BF3" s="225"/>
      <c r="BG3" s="225"/>
      <c r="BH3" s="225"/>
      <c r="BI3" s="225"/>
      <c r="BJ3" s="225"/>
      <c r="BK3" s="225"/>
      <c r="BL3" s="225"/>
      <c r="BM3" s="225"/>
      <c r="BN3" s="225"/>
      <c r="BO3" s="225"/>
      <c r="BP3" s="225"/>
      <c r="BQ3" s="225"/>
      <c r="BR3" s="225"/>
      <c r="BS3" s="226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0"/>
      <c r="CT3" s="130"/>
      <c r="CU3" s="130"/>
      <c r="CV3" s="130"/>
      <c r="CW3" s="130"/>
      <c r="CX3" s="130"/>
      <c r="CY3" s="130"/>
      <c r="CZ3" s="130"/>
      <c r="DA3" s="130"/>
      <c r="DB3" s="130"/>
      <c r="DC3" s="130"/>
      <c r="DD3" s="130"/>
      <c r="DE3" s="130"/>
      <c r="DF3" s="130"/>
      <c r="DG3" s="130"/>
      <c r="DH3" s="130"/>
      <c r="DI3" s="130"/>
      <c r="DJ3" s="130"/>
      <c r="DK3" s="130"/>
      <c r="DL3" s="130"/>
      <c r="DM3" s="130"/>
      <c r="DN3" s="130"/>
      <c r="DO3" s="130"/>
      <c r="DP3" s="130"/>
      <c r="DQ3" s="130"/>
      <c r="DR3" s="130"/>
      <c r="DS3" s="130"/>
      <c r="DT3" s="130"/>
      <c r="DU3" s="130"/>
      <c r="DV3" s="130"/>
      <c r="DW3" s="130"/>
      <c r="DX3" s="130"/>
      <c r="DY3" s="130"/>
      <c r="DZ3" s="130"/>
      <c r="EA3" s="130"/>
      <c r="EB3" s="130"/>
      <c r="EC3" s="130"/>
      <c r="ED3" s="130"/>
      <c r="EE3" s="130"/>
      <c r="EF3" s="130"/>
      <c r="EG3" s="130"/>
      <c r="EH3" s="130"/>
      <c r="EI3" s="130"/>
      <c r="EJ3" s="130"/>
      <c r="EK3" s="130"/>
      <c r="EL3" s="130"/>
      <c r="EM3" s="130"/>
      <c r="EN3" s="130"/>
      <c r="EO3" s="130"/>
      <c r="EP3" s="130"/>
      <c r="EQ3" s="130"/>
      <c r="ER3" s="130"/>
      <c r="ES3" s="130"/>
      <c r="ET3" s="130"/>
      <c r="EU3" s="130"/>
      <c r="EV3" s="130"/>
      <c r="EW3" s="130"/>
      <c r="EX3" s="130"/>
      <c r="EY3" s="130"/>
      <c r="EZ3" s="130"/>
      <c r="FA3" s="130"/>
      <c r="FB3" s="130"/>
      <c r="FC3" s="130"/>
      <c r="FD3" s="130"/>
      <c r="FE3" s="130"/>
      <c r="FF3" s="130"/>
      <c r="FG3" s="130"/>
      <c r="FH3" s="130"/>
      <c r="FI3" s="130"/>
      <c r="FJ3" s="130"/>
      <c r="FK3" s="130"/>
      <c r="FL3" s="130"/>
      <c r="FM3" s="130"/>
      <c r="FN3" s="130"/>
      <c r="FO3" s="130"/>
      <c r="FP3" s="130"/>
      <c r="FQ3" s="130"/>
      <c r="FR3" s="130"/>
      <c r="FS3" s="130"/>
      <c r="FT3" s="130"/>
      <c r="FU3" s="130"/>
      <c r="FV3" s="130"/>
      <c r="FW3" s="130"/>
      <c r="FX3" s="130"/>
      <c r="FY3" s="130"/>
      <c r="FZ3" s="130"/>
      <c r="GA3" s="130"/>
      <c r="GB3" s="130"/>
      <c r="GC3" s="130"/>
      <c r="GD3" s="130"/>
      <c r="GE3" s="130"/>
      <c r="GF3" s="130"/>
      <c r="GG3" s="130"/>
      <c r="GH3" s="130"/>
      <c r="GI3" s="130"/>
      <c r="GJ3" s="234" t="s">
        <v>80</v>
      </c>
      <c r="GK3" s="242" t="s">
        <v>81</v>
      </c>
      <c r="GL3" s="237" t="s">
        <v>78</v>
      </c>
    </row>
    <row r="4" spans="1:196" s="26" customFormat="1" ht="29.25" customHeight="1" x14ac:dyDescent="0.25">
      <c r="A4" s="246"/>
      <c r="B4" s="249"/>
      <c r="C4" s="256" t="s">
        <v>10</v>
      </c>
      <c r="D4" s="257"/>
      <c r="E4" s="256" t="s">
        <v>11</v>
      </c>
      <c r="F4" s="257"/>
      <c r="G4" s="258" t="s">
        <v>199</v>
      </c>
      <c r="H4" s="240" t="s">
        <v>12</v>
      </c>
      <c r="I4" s="240" t="s">
        <v>64</v>
      </c>
      <c r="J4" s="222" t="s">
        <v>67</v>
      </c>
      <c r="K4" s="228"/>
      <c r="L4" s="260" t="s">
        <v>76</v>
      </c>
      <c r="M4" s="230" t="s">
        <v>13</v>
      </c>
      <c r="N4" s="231"/>
      <c r="O4" s="231"/>
      <c r="P4" s="231"/>
      <c r="Q4" s="232"/>
      <c r="R4" s="230" t="s">
        <v>14</v>
      </c>
      <c r="S4" s="231"/>
      <c r="T4" s="231"/>
      <c r="U4" s="231"/>
      <c r="V4" s="231"/>
      <c r="W4" s="232"/>
      <c r="X4" s="230" t="s">
        <v>15</v>
      </c>
      <c r="Y4" s="231"/>
      <c r="Z4" s="231"/>
      <c r="AA4" s="231"/>
      <c r="AB4" s="231"/>
      <c r="AC4" s="232"/>
      <c r="AD4" s="230" t="s">
        <v>16</v>
      </c>
      <c r="AE4" s="231"/>
      <c r="AF4" s="231"/>
      <c r="AG4" s="231"/>
      <c r="AH4" s="231"/>
      <c r="AI4" s="232"/>
      <c r="AJ4" s="230" t="s">
        <v>17</v>
      </c>
      <c r="AK4" s="231"/>
      <c r="AL4" s="231"/>
      <c r="AM4" s="231"/>
      <c r="AN4" s="231"/>
      <c r="AO4" s="232"/>
      <c r="AP4" s="230" t="s">
        <v>18</v>
      </c>
      <c r="AQ4" s="231"/>
      <c r="AR4" s="231"/>
      <c r="AS4" s="231"/>
      <c r="AT4" s="231"/>
      <c r="AU4" s="232"/>
      <c r="AV4" s="230" t="s">
        <v>19</v>
      </c>
      <c r="AW4" s="231"/>
      <c r="AX4" s="231"/>
      <c r="AY4" s="231"/>
      <c r="AZ4" s="231"/>
      <c r="BA4" s="232"/>
      <c r="BB4" s="230" t="s">
        <v>20</v>
      </c>
      <c r="BC4" s="231"/>
      <c r="BD4" s="231"/>
      <c r="BE4" s="231"/>
      <c r="BF4" s="231"/>
      <c r="BG4" s="232"/>
      <c r="BH4" s="230" t="s">
        <v>21</v>
      </c>
      <c r="BI4" s="231"/>
      <c r="BJ4" s="231"/>
      <c r="BK4" s="231"/>
      <c r="BL4" s="231"/>
      <c r="BM4" s="232"/>
      <c r="BN4" s="230" t="s">
        <v>22</v>
      </c>
      <c r="BO4" s="231"/>
      <c r="BP4" s="231"/>
      <c r="BQ4" s="231"/>
      <c r="BR4" s="231"/>
      <c r="BS4" s="233"/>
      <c r="BT4" s="230" t="s">
        <v>84</v>
      </c>
      <c r="BU4" s="231"/>
      <c r="BV4" s="231"/>
      <c r="BW4" s="231"/>
      <c r="BX4" s="231"/>
      <c r="BY4" s="233"/>
      <c r="BZ4" s="230" t="s">
        <v>87</v>
      </c>
      <c r="CA4" s="231"/>
      <c r="CB4" s="231"/>
      <c r="CC4" s="231"/>
      <c r="CD4" s="231"/>
      <c r="CE4" s="233"/>
      <c r="CF4" s="230" t="s">
        <v>88</v>
      </c>
      <c r="CG4" s="231"/>
      <c r="CH4" s="231"/>
      <c r="CI4" s="231"/>
      <c r="CJ4" s="231"/>
      <c r="CK4" s="233"/>
      <c r="CL4" s="230" t="s">
        <v>93</v>
      </c>
      <c r="CM4" s="231"/>
      <c r="CN4" s="231"/>
      <c r="CO4" s="231"/>
      <c r="CP4" s="231"/>
      <c r="CQ4" s="233"/>
      <c r="CR4" s="230" t="s">
        <v>96</v>
      </c>
      <c r="CS4" s="231"/>
      <c r="CT4" s="231"/>
      <c r="CU4" s="231"/>
      <c r="CV4" s="231"/>
      <c r="CW4" s="233"/>
      <c r="CX4" s="230" t="s">
        <v>99</v>
      </c>
      <c r="CY4" s="231"/>
      <c r="CZ4" s="231"/>
      <c r="DA4" s="231"/>
      <c r="DB4" s="231"/>
      <c r="DC4" s="233"/>
      <c r="DD4" s="230" t="s">
        <v>102</v>
      </c>
      <c r="DE4" s="231"/>
      <c r="DF4" s="231"/>
      <c r="DG4" s="231"/>
      <c r="DH4" s="231"/>
      <c r="DI4" s="233"/>
      <c r="DJ4" s="230" t="s">
        <v>105</v>
      </c>
      <c r="DK4" s="231"/>
      <c r="DL4" s="231"/>
      <c r="DM4" s="231"/>
      <c r="DN4" s="231"/>
      <c r="DO4" s="233"/>
      <c r="DP4" s="230" t="s">
        <v>108</v>
      </c>
      <c r="DQ4" s="231"/>
      <c r="DR4" s="231"/>
      <c r="DS4" s="231"/>
      <c r="DT4" s="231"/>
      <c r="DU4" s="233"/>
      <c r="DV4" s="230" t="s">
        <v>111</v>
      </c>
      <c r="DW4" s="231"/>
      <c r="DX4" s="231"/>
      <c r="DY4" s="231"/>
      <c r="DZ4" s="231"/>
      <c r="EA4" s="233"/>
      <c r="EB4" s="230" t="s">
        <v>133</v>
      </c>
      <c r="EC4" s="231"/>
      <c r="ED4" s="231"/>
      <c r="EE4" s="231"/>
      <c r="EF4" s="231"/>
      <c r="EG4" s="233"/>
      <c r="EH4" s="230" t="s">
        <v>137</v>
      </c>
      <c r="EI4" s="231"/>
      <c r="EJ4" s="231"/>
      <c r="EK4" s="231"/>
      <c r="EL4" s="231"/>
      <c r="EM4" s="233"/>
      <c r="EN4" s="230" t="s">
        <v>141</v>
      </c>
      <c r="EO4" s="231"/>
      <c r="EP4" s="231"/>
      <c r="EQ4" s="231"/>
      <c r="ER4" s="231"/>
      <c r="ES4" s="233"/>
      <c r="ET4" s="230" t="s">
        <v>145</v>
      </c>
      <c r="EU4" s="231"/>
      <c r="EV4" s="231"/>
      <c r="EW4" s="231"/>
      <c r="EX4" s="231"/>
      <c r="EY4" s="233"/>
      <c r="EZ4" s="230" t="s">
        <v>149</v>
      </c>
      <c r="FA4" s="231"/>
      <c r="FB4" s="231"/>
      <c r="FC4" s="231"/>
      <c r="FD4" s="231"/>
      <c r="FE4" s="233"/>
      <c r="FF4" s="230" t="s">
        <v>153</v>
      </c>
      <c r="FG4" s="231"/>
      <c r="FH4" s="231"/>
      <c r="FI4" s="231"/>
      <c r="FJ4" s="231"/>
      <c r="FK4" s="233"/>
      <c r="FL4" s="230" t="s">
        <v>157</v>
      </c>
      <c r="FM4" s="231"/>
      <c r="FN4" s="231"/>
      <c r="FO4" s="231"/>
      <c r="FP4" s="231"/>
      <c r="FQ4" s="233"/>
      <c r="FR4" s="230" t="s">
        <v>161</v>
      </c>
      <c r="FS4" s="231"/>
      <c r="FT4" s="231"/>
      <c r="FU4" s="231"/>
      <c r="FV4" s="231"/>
      <c r="FW4" s="233"/>
      <c r="FX4" s="230" t="s">
        <v>165</v>
      </c>
      <c r="FY4" s="231"/>
      <c r="FZ4" s="231"/>
      <c r="GA4" s="231"/>
      <c r="GB4" s="231"/>
      <c r="GC4" s="233"/>
      <c r="GD4" s="230" t="s">
        <v>168</v>
      </c>
      <c r="GE4" s="231"/>
      <c r="GF4" s="231"/>
      <c r="GG4" s="231"/>
      <c r="GH4" s="231"/>
      <c r="GI4" s="233"/>
      <c r="GJ4" s="235"/>
      <c r="GK4" s="243"/>
      <c r="GL4" s="238"/>
    </row>
    <row r="5" spans="1:196" s="26" customFormat="1" ht="246" customHeight="1" thickBot="1" x14ac:dyDescent="0.3">
      <c r="A5" s="246"/>
      <c r="B5" s="250"/>
      <c r="C5" s="254" t="s">
        <v>201</v>
      </c>
      <c r="D5" s="255"/>
      <c r="E5" s="254" t="s">
        <v>73</v>
      </c>
      <c r="F5" s="255"/>
      <c r="G5" s="259"/>
      <c r="H5" s="241"/>
      <c r="I5" s="241"/>
      <c r="J5" s="223"/>
      <c r="K5" s="229"/>
      <c r="L5" s="261"/>
      <c r="M5" s="68" t="s">
        <v>57</v>
      </c>
      <c r="N5" s="136" t="s">
        <v>123</v>
      </c>
      <c r="O5" s="69" t="s">
        <v>65</v>
      </c>
      <c r="P5" s="69" t="s">
        <v>77</v>
      </c>
      <c r="Q5" s="70" t="s">
        <v>23</v>
      </c>
      <c r="R5" s="68" t="s">
        <v>24</v>
      </c>
      <c r="S5" s="136" t="s">
        <v>124</v>
      </c>
      <c r="T5" s="69" t="s">
        <v>57</v>
      </c>
      <c r="U5" s="69" t="s">
        <v>65</v>
      </c>
      <c r="V5" s="69" t="s">
        <v>77</v>
      </c>
      <c r="W5" s="70" t="s">
        <v>25</v>
      </c>
      <c r="X5" s="68" t="s">
        <v>26</v>
      </c>
      <c r="Y5" s="136" t="s">
        <v>125</v>
      </c>
      <c r="Z5" s="69" t="s">
        <v>57</v>
      </c>
      <c r="AA5" s="69" t="s">
        <v>65</v>
      </c>
      <c r="AB5" s="69" t="s">
        <v>77</v>
      </c>
      <c r="AC5" s="70" t="s">
        <v>27</v>
      </c>
      <c r="AD5" s="68" t="s">
        <v>28</v>
      </c>
      <c r="AE5" s="136" t="s">
        <v>126</v>
      </c>
      <c r="AF5" s="69" t="s">
        <v>57</v>
      </c>
      <c r="AG5" s="69" t="s">
        <v>65</v>
      </c>
      <c r="AH5" s="69" t="s">
        <v>77</v>
      </c>
      <c r="AI5" s="70" t="s">
        <v>29</v>
      </c>
      <c r="AJ5" s="68" t="s">
        <v>30</v>
      </c>
      <c r="AK5" s="136" t="s">
        <v>127</v>
      </c>
      <c r="AL5" s="69" t="s">
        <v>57</v>
      </c>
      <c r="AM5" s="69" t="s">
        <v>65</v>
      </c>
      <c r="AN5" s="69" t="s">
        <v>77</v>
      </c>
      <c r="AO5" s="70" t="s">
        <v>31</v>
      </c>
      <c r="AP5" s="68" t="s">
        <v>32</v>
      </c>
      <c r="AQ5" s="136" t="s">
        <v>128</v>
      </c>
      <c r="AR5" s="69" t="s">
        <v>57</v>
      </c>
      <c r="AS5" s="69" t="s">
        <v>65</v>
      </c>
      <c r="AT5" s="69" t="s">
        <v>77</v>
      </c>
      <c r="AU5" s="70" t="s">
        <v>33</v>
      </c>
      <c r="AV5" s="68" t="s">
        <v>34</v>
      </c>
      <c r="AW5" s="136" t="s">
        <v>129</v>
      </c>
      <c r="AX5" s="69" t="s">
        <v>57</v>
      </c>
      <c r="AY5" s="69" t="s">
        <v>65</v>
      </c>
      <c r="AZ5" s="69" t="s">
        <v>77</v>
      </c>
      <c r="BA5" s="70" t="s">
        <v>35</v>
      </c>
      <c r="BB5" s="68" t="s">
        <v>36</v>
      </c>
      <c r="BC5" s="136" t="s">
        <v>130</v>
      </c>
      <c r="BD5" s="69" t="s">
        <v>57</v>
      </c>
      <c r="BE5" s="69" t="s">
        <v>65</v>
      </c>
      <c r="BF5" s="69" t="s">
        <v>77</v>
      </c>
      <c r="BG5" s="70" t="s">
        <v>37</v>
      </c>
      <c r="BH5" s="68" t="s">
        <v>38</v>
      </c>
      <c r="BI5" s="136" t="s">
        <v>131</v>
      </c>
      <c r="BJ5" s="69" t="s">
        <v>57</v>
      </c>
      <c r="BK5" s="69" t="s">
        <v>65</v>
      </c>
      <c r="BL5" s="69" t="s">
        <v>77</v>
      </c>
      <c r="BM5" s="70" t="s">
        <v>39</v>
      </c>
      <c r="BN5" s="68" t="s">
        <v>40</v>
      </c>
      <c r="BO5" s="136" t="s">
        <v>132</v>
      </c>
      <c r="BP5" s="69" t="s">
        <v>57</v>
      </c>
      <c r="BQ5" s="69" t="s">
        <v>65</v>
      </c>
      <c r="BR5" s="69" t="s">
        <v>77</v>
      </c>
      <c r="BS5" s="84" t="s">
        <v>41</v>
      </c>
      <c r="BT5" s="68" t="s">
        <v>85</v>
      </c>
      <c r="BU5" s="136" t="s">
        <v>114</v>
      </c>
      <c r="BV5" s="134" t="s">
        <v>57</v>
      </c>
      <c r="BW5" s="134" t="s">
        <v>65</v>
      </c>
      <c r="BX5" s="134" t="s">
        <v>77</v>
      </c>
      <c r="BY5" s="135" t="s">
        <v>86</v>
      </c>
      <c r="BZ5" s="68" t="s">
        <v>89</v>
      </c>
      <c r="CA5" s="136" t="s">
        <v>115</v>
      </c>
      <c r="CB5" s="134" t="s">
        <v>57</v>
      </c>
      <c r="CC5" s="134" t="s">
        <v>65</v>
      </c>
      <c r="CD5" s="134" t="s">
        <v>77</v>
      </c>
      <c r="CE5" s="135" t="s">
        <v>90</v>
      </c>
      <c r="CF5" s="68" t="s">
        <v>91</v>
      </c>
      <c r="CG5" s="136" t="s">
        <v>116</v>
      </c>
      <c r="CH5" s="134" t="s">
        <v>57</v>
      </c>
      <c r="CI5" s="134" t="s">
        <v>65</v>
      </c>
      <c r="CJ5" s="134" t="s">
        <v>77</v>
      </c>
      <c r="CK5" s="135" t="s">
        <v>92</v>
      </c>
      <c r="CL5" s="68" t="s">
        <v>94</v>
      </c>
      <c r="CM5" s="136" t="s">
        <v>117</v>
      </c>
      <c r="CN5" s="134" t="s">
        <v>57</v>
      </c>
      <c r="CO5" s="134" t="s">
        <v>65</v>
      </c>
      <c r="CP5" s="134" t="s">
        <v>77</v>
      </c>
      <c r="CQ5" s="135" t="s">
        <v>95</v>
      </c>
      <c r="CR5" s="68" t="s">
        <v>97</v>
      </c>
      <c r="CS5" s="136" t="s">
        <v>118</v>
      </c>
      <c r="CT5" s="134" t="s">
        <v>57</v>
      </c>
      <c r="CU5" s="134" t="s">
        <v>65</v>
      </c>
      <c r="CV5" s="134" t="s">
        <v>77</v>
      </c>
      <c r="CW5" s="135" t="s">
        <v>98</v>
      </c>
      <c r="CX5" s="68" t="s">
        <v>100</v>
      </c>
      <c r="CY5" s="136" t="s">
        <v>119</v>
      </c>
      <c r="CZ5" s="134" t="s">
        <v>57</v>
      </c>
      <c r="DA5" s="134" t="s">
        <v>65</v>
      </c>
      <c r="DB5" s="134" t="s">
        <v>77</v>
      </c>
      <c r="DC5" s="135" t="s">
        <v>101</v>
      </c>
      <c r="DD5" s="68" t="s">
        <v>103</v>
      </c>
      <c r="DE5" s="136" t="s">
        <v>120</v>
      </c>
      <c r="DF5" s="134" t="s">
        <v>57</v>
      </c>
      <c r="DG5" s="134" t="s">
        <v>65</v>
      </c>
      <c r="DH5" s="134" t="s">
        <v>77</v>
      </c>
      <c r="DI5" s="135" t="s">
        <v>104</v>
      </c>
      <c r="DJ5" s="68" t="s">
        <v>106</v>
      </c>
      <c r="DK5" s="134" t="s">
        <v>66</v>
      </c>
      <c r="DL5" s="134" t="s">
        <v>57</v>
      </c>
      <c r="DM5" s="134" t="s">
        <v>65</v>
      </c>
      <c r="DN5" s="134" t="s">
        <v>77</v>
      </c>
      <c r="DO5" s="135" t="s">
        <v>107</v>
      </c>
      <c r="DP5" s="68" t="s">
        <v>109</v>
      </c>
      <c r="DQ5" s="136" t="s">
        <v>121</v>
      </c>
      <c r="DR5" s="134" t="s">
        <v>57</v>
      </c>
      <c r="DS5" s="134" t="s">
        <v>65</v>
      </c>
      <c r="DT5" s="134" t="s">
        <v>77</v>
      </c>
      <c r="DU5" s="135" t="s">
        <v>110</v>
      </c>
      <c r="DV5" s="68" t="s">
        <v>113</v>
      </c>
      <c r="DW5" s="136" t="s">
        <v>122</v>
      </c>
      <c r="DX5" s="134" t="s">
        <v>57</v>
      </c>
      <c r="DY5" s="134" t="s">
        <v>65</v>
      </c>
      <c r="DZ5" s="134" t="s">
        <v>77</v>
      </c>
      <c r="EA5" s="135" t="s">
        <v>112</v>
      </c>
      <c r="EB5" s="68" t="s">
        <v>134</v>
      </c>
      <c r="EC5" s="137" t="s">
        <v>135</v>
      </c>
      <c r="ED5" s="137" t="s">
        <v>57</v>
      </c>
      <c r="EE5" s="137" t="s">
        <v>65</v>
      </c>
      <c r="EF5" s="137" t="s">
        <v>77</v>
      </c>
      <c r="EG5" s="138" t="s">
        <v>136</v>
      </c>
      <c r="EH5" s="68" t="s">
        <v>138</v>
      </c>
      <c r="EI5" s="137" t="s">
        <v>139</v>
      </c>
      <c r="EJ5" s="137" t="s">
        <v>57</v>
      </c>
      <c r="EK5" s="137" t="s">
        <v>65</v>
      </c>
      <c r="EL5" s="137" t="s">
        <v>77</v>
      </c>
      <c r="EM5" s="138" t="s">
        <v>140</v>
      </c>
      <c r="EN5" s="68" t="s">
        <v>142</v>
      </c>
      <c r="EO5" s="137" t="s">
        <v>143</v>
      </c>
      <c r="EP5" s="137" t="s">
        <v>57</v>
      </c>
      <c r="EQ5" s="137" t="s">
        <v>65</v>
      </c>
      <c r="ER5" s="137" t="s">
        <v>77</v>
      </c>
      <c r="ES5" s="138" t="s">
        <v>144</v>
      </c>
      <c r="ET5" s="68" t="s">
        <v>146</v>
      </c>
      <c r="EU5" s="137" t="s">
        <v>147</v>
      </c>
      <c r="EV5" s="137" t="s">
        <v>57</v>
      </c>
      <c r="EW5" s="137" t="s">
        <v>65</v>
      </c>
      <c r="EX5" s="137" t="s">
        <v>77</v>
      </c>
      <c r="EY5" s="138" t="s">
        <v>148</v>
      </c>
      <c r="EZ5" s="68" t="s">
        <v>150</v>
      </c>
      <c r="FA5" s="137" t="s">
        <v>151</v>
      </c>
      <c r="FB5" s="137" t="s">
        <v>57</v>
      </c>
      <c r="FC5" s="137" t="s">
        <v>65</v>
      </c>
      <c r="FD5" s="137" t="s">
        <v>77</v>
      </c>
      <c r="FE5" s="138" t="s">
        <v>152</v>
      </c>
      <c r="FF5" s="68" t="s">
        <v>154</v>
      </c>
      <c r="FG5" s="137" t="s">
        <v>155</v>
      </c>
      <c r="FH5" s="137" t="s">
        <v>57</v>
      </c>
      <c r="FI5" s="137" t="s">
        <v>65</v>
      </c>
      <c r="FJ5" s="137" t="s">
        <v>77</v>
      </c>
      <c r="FK5" s="138" t="s">
        <v>156</v>
      </c>
      <c r="FL5" s="68" t="s">
        <v>158</v>
      </c>
      <c r="FM5" s="137" t="s">
        <v>159</v>
      </c>
      <c r="FN5" s="137" t="s">
        <v>57</v>
      </c>
      <c r="FO5" s="137" t="s">
        <v>65</v>
      </c>
      <c r="FP5" s="137" t="s">
        <v>77</v>
      </c>
      <c r="FQ5" s="138" t="s">
        <v>160</v>
      </c>
      <c r="FR5" s="68" t="s">
        <v>162</v>
      </c>
      <c r="FS5" s="137" t="s">
        <v>163</v>
      </c>
      <c r="FT5" s="137" t="s">
        <v>57</v>
      </c>
      <c r="FU5" s="137" t="s">
        <v>65</v>
      </c>
      <c r="FV5" s="137" t="s">
        <v>77</v>
      </c>
      <c r="FW5" s="138" t="s">
        <v>164</v>
      </c>
      <c r="FX5" s="68" t="s">
        <v>166</v>
      </c>
      <c r="FY5" s="137" t="s">
        <v>170</v>
      </c>
      <c r="FZ5" s="137" t="s">
        <v>57</v>
      </c>
      <c r="GA5" s="137" t="s">
        <v>65</v>
      </c>
      <c r="GB5" s="137" t="s">
        <v>77</v>
      </c>
      <c r="GC5" s="138" t="s">
        <v>167</v>
      </c>
      <c r="GD5" s="68" t="s">
        <v>169</v>
      </c>
      <c r="GE5" s="137" t="s">
        <v>171</v>
      </c>
      <c r="GF5" s="137" t="s">
        <v>57</v>
      </c>
      <c r="GG5" s="137" t="s">
        <v>65</v>
      </c>
      <c r="GH5" s="137" t="s">
        <v>77</v>
      </c>
      <c r="GI5" s="138" t="s">
        <v>172</v>
      </c>
      <c r="GJ5" s="236"/>
      <c r="GK5" s="244"/>
      <c r="GL5" s="239"/>
    </row>
    <row r="6" spans="1:196" s="26" customFormat="1" ht="19.2" thickBot="1" x14ac:dyDescent="0.3">
      <c r="A6" s="247"/>
      <c r="B6" s="106" t="s">
        <v>42</v>
      </c>
      <c r="C6" s="73" t="s">
        <v>43</v>
      </c>
      <c r="D6" s="74" t="s">
        <v>44</v>
      </c>
      <c r="E6" s="73" t="s">
        <v>45</v>
      </c>
      <c r="F6" s="74" t="s">
        <v>46</v>
      </c>
      <c r="G6" s="67" t="s">
        <v>1</v>
      </c>
      <c r="H6" s="66" t="s">
        <v>2</v>
      </c>
      <c r="I6" s="56" t="s">
        <v>71</v>
      </c>
      <c r="J6" s="113" t="s">
        <v>69</v>
      </c>
      <c r="K6" s="118" t="s">
        <v>47</v>
      </c>
      <c r="L6" s="72" t="s">
        <v>48</v>
      </c>
      <c r="M6" s="73" t="s">
        <v>47</v>
      </c>
      <c r="N6" s="66" t="s">
        <v>55</v>
      </c>
      <c r="O6" s="66" t="s">
        <v>54</v>
      </c>
      <c r="P6" s="66" t="s">
        <v>53</v>
      </c>
      <c r="Q6" s="74" t="s">
        <v>52</v>
      </c>
      <c r="R6" s="73" t="s">
        <v>46</v>
      </c>
      <c r="S6" s="66" t="s">
        <v>55</v>
      </c>
      <c r="T6" s="66" t="s">
        <v>47</v>
      </c>
      <c r="U6" s="66" t="s">
        <v>54</v>
      </c>
      <c r="V6" s="66" t="s">
        <v>53</v>
      </c>
      <c r="W6" s="74" t="s">
        <v>52</v>
      </c>
      <c r="X6" s="73" t="s">
        <v>46</v>
      </c>
      <c r="Y6" s="66" t="s">
        <v>55</v>
      </c>
      <c r="Z6" s="66" t="s">
        <v>47</v>
      </c>
      <c r="AA6" s="66" t="s">
        <v>54</v>
      </c>
      <c r="AB6" s="66" t="s">
        <v>53</v>
      </c>
      <c r="AC6" s="74" t="s">
        <v>52</v>
      </c>
      <c r="AD6" s="73" t="s">
        <v>46</v>
      </c>
      <c r="AE6" s="66" t="s">
        <v>55</v>
      </c>
      <c r="AF6" s="66" t="s">
        <v>47</v>
      </c>
      <c r="AG6" s="66" t="s">
        <v>54</v>
      </c>
      <c r="AH6" s="66" t="s">
        <v>53</v>
      </c>
      <c r="AI6" s="74" t="s">
        <v>52</v>
      </c>
      <c r="AJ6" s="73" t="s">
        <v>46</v>
      </c>
      <c r="AK6" s="66" t="s">
        <v>55</v>
      </c>
      <c r="AL6" s="66" t="s">
        <v>47</v>
      </c>
      <c r="AM6" s="66" t="s">
        <v>54</v>
      </c>
      <c r="AN6" s="66" t="s">
        <v>53</v>
      </c>
      <c r="AO6" s="74" t="s">
        <v>52</v>
      </c>
      <c r="AP6" s="73" t="s">
        <v>46</v>
      </c>
      <c r="AQ6" s="66" t="s">
        <v>55</v>
      </c>
      <c r="AR6" s="66" t="s">
        <v>47</v>
      </c>
      <c r="AS6" s="66" t="s">
        <v>54</v>
      </c>
      <c r="AT6" s="66" t="s">
        <v>53</v>
      </c>
      <c r="AU6" s="74" t="s">
        <v>52</v>
      </c>
      <c r="AV6" s="73" t="s">
        <v>46</v>
      </c>
      <c r="AW6" s="66" t="s">
        <v>55</v>
      </c>
      <c r="AX6" s="66" t="s">
        <v>47</v>
      </c>
      <c r="AY6" s="66" t="s">
        <v>54</v>
      </c>
      <c r="AZ6" s="66" t="s">
        <v>53</v>
      </c>
      <c r="BA6" s="74" t="s">
        <v>52</v>
      </c>
      <c r="BB6" s="73" t="s">
        <v>46</v>
      </c>
      <c r="BC6" s="66" t="s">
        <v>55</v>
      </c>
      <c r="BD6" s="66" t="s">
        <v>47</v>
      </c>
      <c r="BE6" s="66" t="s">
        <v>54</v>
      </c>
      <c r="BF6" s="66" t="s">
        <v>53</v>
      </c>
      <c r="BG6" s="74" t="s">
        <v>52</v>
      </c>
      <c r="BH6" s="73" t="s">
        <v>46</v>
      </c>
      <c r="BI6" s="66" t="s">
        <v>55</v>
      </c>
      <c r="BJ6" s="66" t="s">
        <v>47</v>
      </c>
      <c r="BK6" s="66" t="s">
        <v>54</v>
      </c>
      <c r="BL6" s="66" t="s">
        <v>53</v>
      </c>
      <c r="BM6" s="74" t="s">
        <v>52</v>
      </c>
      <c r="BN6" s="73" t="s">
        <v>46</v>
      </c>
      <c r="BO6" s="66" t="s">
        <v>55</v>
      </c>
      <c r="BP6" s="66" t="s">
        <v>47</v>
      </c>
      <c r="BQ6" s="66" t="s">
        <v>54</v>
      </c>
      <c r="BR6" s="66" t="s">
        <v>53</v>
      </c>
      <c r="BS6" s="113" t="s">
        <v>52</v>
      </c>
      <c r="BT6" s="73" t="s">
        <v>46</v>
      </c>
      <c r="BU6" s="66" t="s">
        <v>55</v>
      </c>
      <c r="BV6" s="66" t="s">
        <v>47</v>
      </c>
      <c r="BW6" s="66" t="s">
        <v>83</v>
      </c>
      <c r="BX6" s="66" t="s">
        <v>53</v>
      </c>
      <c r="BY6" s="113" t="s">
        <v>52</v>
      </c>
      <c r="BZ6" s="73" t="s">
        <v>46</v>
      </c>
      <c r="CA6" s="66" t="s">
        <v>55</v>
      </c>
      <c r="CB6" s="66" t="s">
        <v>47</v>
      </c>
      <c r="CC6" s="66" t="s">
        <v>83</v>
      </c>
      <c r="CD6" s="66" t="s">
        <v>53</v>
      </c>
      <c r="CE6" s="113" t="s">
        <v>52</v>
      </c>
      <c r="CF6" s="73" t="s">
        <v>46</v>
      </c>
      <c r="CG6" s="66" t="s">
        <v>55</v>
      </c>
      <c r="CH6" s="66" t="s">
        <v>47</v>
      </c>
      <c r="CI6" s="66" t="s">
        <v>83</v>
      </c>
      <c r="CJ6" s="66" t="s">
        <v>53</v>
      </c>
      <c r="CK6" s="113" t="s">
        <v>52</v>
      </c>
      <c r="CL6" s="73" t="s">
        <v>46</v>
      </c>
      <c r="CM6" s="66" t="s">
        <v>55</v>
      </c>
      <c r="CN6" s="66" t="s">
        <v>47</v>
      </c>
      <c r="CO6" s="66" t="s">
        <v>83</v>
      </c>
      <c r="CP6" s="66" t="s">
        <v>53</v>
      </c>
      <c r="CQ6" s="113" t="s">
        <v>52</v>
      </c>
      <c r="CR6" s="73" t="s">
        <v>46</v>
      </c>
      <c r="CS6" s="66" t="s">
        <v>55</v>
      </c>
      <c r="CT6" s="66" t="s">
        <v>47</v>
      </c>
      <c r="CU6" s="66" t="s">
        <v>83</v>
      </c>
      <c r="CV6" s="66" t="s">
        <v>53</v>
      </c>
      <c r="CW6" s="113" t="s">
        <v>52</v>
      </c>
      <c r="CX6" s="73" t="s">
        <v>46</v>
      </c>
      <c r="CY6" s="66" t="s">
        <v>55</v>
      </c>
      <c r="CZ6" s="66" t="s">
        <v>47</v>
      </c>
      <c r="DA6" s="66" t="s">
        <v>83</v>
      </c>
      <c r="DB6" s="66" t="s">
        <v>53</v>
      </c>
      <c r="DC6" s="113" t="s">
        <v>52</v>
      </c>
      <c r="DD6" s="73" t="s">
        <v>46</v>
      </c>
      <c r="DE6" s="66" t="s">
        <v>55</v>
      </c>
      <c r="DF6" s="66" t="s">
        <v>47</v>
      </c>
      <c r="DG6" s="66" t="s">
        <v>83</v>
      </c>
      <c r="DH6" s="66" t="s">
        <v>53</v>
      </c>
      <c r="DI6" s="113" t="s">
        <v>52</v>
      </c>
      <c r="DJ6" s="73" t="s">
        <v>46</v>
      </c>
      <c r="DK6" s="66" t="s">
        <v>55</v>
      </c>
      <c r="DL6" s="66" t="s">
        <v>47</v>
      </c>
      <c r="DM6" s="66" t="s">
        <v>83</v>
      </c>
      <c r="DN6" s="66" t="s">
        <v>53</v>
      </c>
      <c r="DO6" s="113" t="s">
        <v>52</v>
      </c>
      <c r="DP6" s="73" t="s">
        <v>46</v>
      </c>
      <c r="DQ6" s="66" t="s">
        <v>55</v>
      </c>
      <c r="DR6" s="66" t="s">
        <v>47</v>
      </c>
      <c r="DS6" s="66" t="s">
        <v>83</v>
      </c>
      <c r="DT6" s="66" t="s">
        <v>53</v>
      </c>
      <c r="DU6" s="113" t="s">
        <v>52</v>
      </c>
      <c r="DV6" s="73" t="s">
        <v>46</v>
      </c>
      <c r="DW6" s="66" t="s">
        <v>55</v>
      </c>
      <c r="DX6" s="66" t="s">
        <v>47</v>
      </c>
      <c r="DY6" s="66" t="s">
        <v>83</v>
      </c>
      <c r="DZ6" s="66" t="s">
        <v>53</v>
      </c>
      <c r="EA6" s="113" t="s">
        <v>52</v>
      </c>
      <c r="EB6" s="73" t="s">
        <v>46</v>
      </c>
      <c r="EC6" s="66" t="s">
        <v>55</v>
      </c>
      <c r="ED6" s="66" t="s">
        <v>47</v>
      </c>
      <c r="EE6" s="66" t="s">
        <v>83</v>
      </c>
      <c r="EF6" s="66" t="s">
        <v>53</v>
      </c>
      <c r="EG6" s="113" t="s">
        <v>52</v>
      </c>
      <c r="EH6" s="73" t="s">
        <v>46</v>
      </c>
      <c r="EI6" s="66" t="s">
        <v>55</v>
      </c>
      <c r="EJ6" s="66" t="s">
        <v>47</v>
      </c>
      <c r="EK6" s="66" t="s">
        <v>83</v>
      </c>
      <c r="EL6" s="66" t="s">
        <v>53</v>
      </c>
      <c r="EM6" s="113" t="s">
        <v>52</v>
      </c>
      <c r="EN6" s="73" t="s">
        <v>46</v>
      </c>
      <c r="EO6" s="66" t="s">
        <v>55</v>
      </c>
      <c r="EP6" s="66" t="s">
        <v>47</v>
      </c>
      <c r="EQ6" s="66" t="s">
        <v>83</v>
      </c>
      <c r="ER6" s="66" t="s">
        <v>53</v>
      </c>
      <c r="ES6" s="113" t="s">
        <v>52</v>
      </c>
      <c r="ET6" s="73" t="s">
        <v>46</v>
      </c>
      <c r="EU6" s="66" t="s">
        <v>55</v>
      </c>
      <c r="EV6" s="66" t="s">
        <v>47</v>
      </c>
      <c r="EW6" s="66" t="s">
        <v>83</v>
      </c>
      <c r="EX6" s="66" t="s">
        <v>53</v>
      </c>
      <c r="EY6" s="113" t="s">
        <v>52</v>
      </c>
      <c r="EZ6" s="73" t="s">
        <v>46</v>
      </c>
      <c r="FA6" s="66" t="s">
        <v>55</v>
      </c>
      <c r="FB6" s="66" t="s">
        <v>47</v>
      </c>
      <c r="FC6" s="66" t="s">
        <v>83</v>
      </c>
      <c r="FD6" s="66" t="s">
        <v>53</v>
      </c>
      <c r="FE6" s="113" t="s">
        <v>52</v>
      </c>
      <c r="FF6" s="73" t="s">
        <v>46</v>
      </c>
      <c r="FG6" s="66" t="s">
        <v>55</v>
      </c>
      <c r="FH6" s="66" t="s">
        <v>47</v>
      </c>
      <c r="FI6" s="66" t="s">
        <v>83</v>
      </c>
      <c r="FJ6" s="66" t="s">
        <v>53</v>
      </c>
      <c r="FK6" s="113" t="s">
        <v>52</v>
      </c>
      <c r="FL6" s="73" t="s">
        <v>46</v>
      </c>
      <c r="FM6" s="66" t="s">
        <v>55</v>
      </c>
      <c r="FN6" s="66" t="s">
        <v>47</v>
      </c>
      <c r="FO6" s="66" t="s">
        <v>83</v>
      </c>
      <c r="FP6" s="66" t="s">
        <v>53</v>
      </c>
      <c r="FQ6" s="113" t="s">
        <v>52</v>
      </c>
      <c r="FR6" s="73" t="s">
        <v>46</v>
      </c>
      <c r="FS6" s="66" t="s">
        <v>55</v>
      </c>
      <c r="FT6" s="66" t="s">
        <v>47</v>
      </c>
      <c r="FU6" s="66" t="s">
        <v>83</v>
      </c>
      <c r="FV6" s="66" t="s">
        <v>53</v>
      </c>
      <c r="FW6" s="113" t="s">
        <v>52</v>
      </c>
      <c r="FX6" s="73" t="s">
        <v>46</v>
      </c>
      <c r="FY6" s="66" t="s">
        <v>55</v>
      </c>
      <c r="FZ6" s="66" t="s">
        <v>47</v>
      </c>
      <c r="GA6" s="66" t="s">
        <v>83</v>
      </c>
      <c r="GB6" s="66" t="s">
        <v>53</v>
      </c>
      <c r="GC6" s="113" t="s">
        <v>52</v>
      </c>
      <c r="GD6" s="73" t="s">
        <v>46</v>
      </c>
      <c r="GE6" s="66" t="s">
        <v>55</v>
      </c>
      <c r="GF6" s="66" t="s">
        <v>47</v>
      </c>
      <c r="GG6" s="66" t="s">
        <v>83</v>
      </c>
      <c r="GH6" s="66" t="s">
        <v>53</v>
      </c>
      <c r="GI6" s="113" t="s">
        <v>52</v>
      </c>
      <c r="GJ6" s="158" t="s">
        <v>52</v>
      </c>
      <c r="GK6" s="156" t="s">
        <v>60</v>
      </c>
      <c r="GL6" s="85" t="s">
        <v>74</v>
      </c>
    </row>
    <row r="7" spans="1:196" s="27" customFormat="1" ht="14.4" thickBot="1" x14ac:dyDescent="0.3">
      <c r="A7" s="103">
        <v>1</v>
      </c>
      <c r="B7" s="107">
        <f t="shared" ref="B7:Y7" si="0">A7+1</f>
        <v>2</v>
      </c>
      <c r="C7" s="62">
        <f t="shared" si="0"/>
        <v>3</v>
      </c>
      <c r="D7" s="65">
        <f t="shared" si="0"/>
        <v>4</v>
      </c>
      <c r="E7" s="62">
        <f t="shared" si="0"/>
        <v>5</v>
      </c>
      <c r="F7" s="65">
        <f t="shared" si="0"/>
        <v>6</v>
      </c>
      <c r="G7" s="102">
        <f>F7+1</f>
        <v>7</v>
      </c>
      <c r="H7" s="63">
        <f t="shared" si="0"/>
        <v>8</v>
      </c>
      <c r="I7" s="63">
        <f t="shared" ref="I7:L7" si="1">H7+1</f>
        <v>9</v>
      </c>
      <c r="J7" s="114">
        <f>I7+1</f>
        <v>10</v>
      </c>
      <c r="K7" s="119">
        <f>J7+1</f>
        <v>11</v>
      </c>
      <c r="L7" s="64">
        <f t="shared" si="1"/>
        <v>12</v>
      </c>
      <c r="M7" s="62">
        <f>L7+1</f>
        <v>13</v>
      </c>
      <c r="N7" s="63">
        <f t="shared" si="0"/>
        <v>14</v>
      </c>
      <c r="O7" s="63">
        <f t="shared" si="0"/>
        <v>15</v>
      </c>
      <c r="P7" s="63">
        <f t="shared" si="0"/>
        <v>16</v>
      </c>
      <c r="Q7" s="65">
        <f t="shared" si="0"/>
        <v>17</v>
      </c>
      <c r="R7" s="62">
        <f t="shared" si="0"/>
        <v>18</v>
      </c>
      <c r="S7" s="63">
        <f t="shared" si="0"/>
        <v>19</v>
      </c>
      <c r="T7" s="63">
        <f>S7+1</f>
        <v>20</v>
      </c>
      <c r="U7" s="63">
        <f t="shared" si="0"/>
        <v>21</v>
      </c>
      <c r="V7" s="63">
        <f t="shared" si="0"/>
        <v>22</v>
      </c>
      <c r="W7" s="65">
        <f t="shared" si="0"/>
        <v>23</v>
      </c>
      <c r="X7" s="62">
        <f t="shared" si="0"/>
        <v>24</v>
      </c>
      <c r="Y7" s="63">
        <f t="shared" si="0"/>
        <v>25</v>
      </c>
      <c r="Z7" s="63">
        <f>Y7+1</f>
        <v>26</v>
      </c>
      <c r="AA7" s="63">
        <f t="shared" ref="AA7:AZ7" si="2">Z7+1</f>
        <v>27</v>
      </c>
      <c r="AB7" s="63">
        <f t="shared" si="2"/>
        <v>28</v>
      </c>
      <c r="AC7" s="65">
        <f t="shared" si="2"/>
        <v>29</v>
      </c>
      <c r="AD7" s="62">
        <f t="shared" si="2"/>
        <v>30</v>
      </c>
      <c r="AE7" s="63">
        <f t="shared" si="2"/>
        <v>31</v>
      </c>
      <c r="AF7" s="63">
        <f>AE7+1</f>
        <v>32</v>
      </c>
      <c r="AG7" s="63">
        <f t="shared" si="2"/>
        <v>33</v>
      </c>
      <c r="AH7" s="63">
        <f t="shared" si="2"/>
        <v>34</v>
      </c>
      <c r="AI7" s="65">
        <f t="shared" si="2"/>
        <v>35</v>
      </c>
      <c r="AJ7" s="62">
        <f t="shared" si="2"/>
        <v>36</v>
      </c>
      <c r="AK7" s="63">
        <f t="shared" si="2"/>
        <v>37</v>
      </c>
      <c r="AL7" s="63">
        <f>AK7+1</f>
        <v>38</v>
      </c>
      <c r="AM7" s="63">
        <f t="shared" si="2"/>
        <v>39</v>
      </c>
      <c r="AN7" s="63">
        <f t="shared" si="2"/>
        <v>40</v>
      </c>
      <c r="AO7" s="65">
        <f t="shared" si="2"/>
        <v>41</v>
      </c>
      <c r="AP7" s="62">
        <f t="shared" si="2"/>
        <v>42</v>
      </c>
      <c r="AQ7" s="63">
        <f t="shared" si="2"/>
        <v>43</v>
      </c>
      <c r="AR7" s="63">
        <f>AQ7+1</f>
        <v>44</v>
      </c>
      <c r="AS7" s="63">
        <f t="shared" si="2"/>
        <v>45</v>
      </c>
      <c r="AT7" s="63">
        <f t="shared" si="2"/>
        <v>46</v>
      </c>
      <c r="AU7" s="65">
        <f t="shared" si="2"/>
        <v>47</v>
      </c>
      <c r="AV7" s="62">
        <f t="shared" si="2"/>
        <v>48</v>
      </c>
      <c r="AW7" s="63">
        <f t="shared" si="2"/>
        <v>49</v>
      </c>
      <c r="AX7" s="63">
        <f>AW7+1</f>
        <v>50</v>
      </c>
      <c r="AY7" s="63">
        <f t="shared" si="2"/>
        <v>51</v>
      </c>
      <c r="AZ7" s="63">
        <f t="shared" si="2"/>
        <v>52</v>
      </c>
      <c r="BA7" s="65">
        <f t="shared" ref="BA7:BS7" si="3">AZ7+1</f>
        <v>53</v>
      </c>
      <c r="BB7" s="62">
        <f t="shared" si="3"/>
        <v>54</v>
      </c>
      <c r="BC7" s="63">
        <f t="shared" si="3"/>
        <v>55</v>
      </c>
      <c r="BD7" s="63">
        <f>BC7+1</f>
        <v>56</v>
      </c>
      <c r="BE7" s="63">
        <f t="shared" si="3"/>
        <v>57</v>
      </c>
      <c r="BF7" s="63">
        <f t="shared" si="3"/>
        <v>58</v>
      </c>
      <c r="BG7" s="65">
        <f t="shared" si="3"/>
        <v>59</v>
      </c>
      <c r="BH7" s="62">
        <f t="shared" si="3"/>
        <v>60</v>
      </c>
      <c r="BI7" s="63">
        <f t="shared" si="3"/>
        <v>61</v>
      </c>
      <c r="BJ7" s="63">
        <f>BI7+1</f>
        <v>62</v>
      </c>
      <c r="BK7" s="63">
        <f t="shared" si="3"/>
        <v>63</v>
      </c>
      <c r="BL7" s="63">
        <f t="shared" si="3"/>
        <v>64</v>
      </c>
      <c r="BM7" s="65">
        <f t="shared" si="3"/>
        <v>65</v>
      </c>
      <c r="BN7" s="62">
        <f t="shared" si="3"/>
        <v>66</v>
      </c>
      <c r="BO7" s="63">
        <f t="shared" si="3"/>
        <v>67</v>
      </c>
      <c r="BP7" s="63">
        <f>BO7+1</f>
        <v>68</v>
      </c>
      <c r="BQ7" s="63">
        <f t="shared" si="3"/>
        <v>69</v>
      </c>
      <c r="BR7" s="63">
        <f t="shared" si="3"/>
        <v>70</v>
      </c>
      <c r="BS7" s="114">
        <f t="shared" si="3"/>
        <v>71</v>
      </c>
      <c r="BT7" s="62">
        <f t="shared" ref="BT7" si="4">BS7+1</f>
        <v>72</v>
      </c>
      <c r="BU7" s="63">
        <f t="shared" ref="BU7" si="5">BT7+1</f>
        <v>73</v>
      </c>
      <c r="BV7" s="63">
        <f>BU7+1</f>
        <v>74</v>
      </c>
      <c r="BW7" s="63">
        <f t="shared" ref="BW7" si="6">BV7+1</f>
        <v>75</v>
      </c>
      <c r="BX7" s="63">
        <f t="shared" ref="BX7" si="7">BW7+1</f>
        <v>76</v>
      </c>
      <c r="BY7" s="114">
        <f t="shared" ref="BY7" si="8">BX7+1</f>
        <v>77</v>
      </c>
      <c r="BZ7" s="62">
        <f t="shared" ref="BZ7" si="9">BY7+1</f>
        <v>78</v>
      </c>
      <c r="CA7" s="63">
        <f t="shared" ref="CA7" si="10">BZ7+1</f>
        <v>79</v>
      </c>
      <c r="CB7" s="63">
        <f>CA7+1</f>
        <v>80</v>
      </c>
      <c r="CC7" s="63">
        <f t="shared" ref="CC7" si="11">CB7+1</f>
        <v>81</v>
      </c>
      <c r="CD7" s="63">
        <f t="shared" ref="CD7" si="12">CC7+1</f>
        <v>82</v>
      </c>
      <c r="CE7" s="114">
        <f t="shared" ref="CE7" si="13">CD7+1</f>
        <v>83</v>
      </c>
      <c r="CF7" s="62">
        <f t="shared" ref="CF7" si="14">CE7+1</f>
        <v>84</v>
      </c>
      <c r="CG7" s="63">
        <f t="shared" ref="CG7" si="15">CF7+1</f>
        <v>85</v>
      </c>
      <c r="CH7" s="63">
        <f>CG7+1</f>
        <v>86</v>
      </c>
      <c r="CI7" s="63">
        <f t="shared" ref="CI7" si="16">CH7+1</f>
        <v>87</v>
      </c>
      <c r="CJ7" s="63">
        <f t="shared" ref="CJ7" si="17">CI7+1</f>
        <v>88</v>
      </c>
      <c r="CK7" s="114">
        <f t="shared" ref="CK7" si="18">CJ7+1</f>
        <v>89</v>
      </c>
      <c r="CL7" s="62">
        <f t="shared" ref="CL7" si="19">CK7+1</f>
        <v>90</v>
      </c>
      <c r="CM7" s="63">
        <f t="shared" ref="CM7" si="20">CL7+1</f>
        <v>91</v>
      </c>
      <c r="CN7" s="63">
        <f>CM7+1</f>
        <v>92</v>
      </c>
      <c r="CO7" s="63">
        <f t="shared" ref="CO7" si="21">CN7+1</f>
        <v>93</v>
      </c>
      <c r="CP7" s="63">
        <f t="shared" ref="CP7" si="22">CO7+1</f>
        <v>94</v>
      </c>
      <c r="CQ7" s="114">
        <f t="shared" ref="CQ7" si="23">CP7+1</f>
        <v>95</v>
      </c>
      <c r="CR7" s="62">
        <f t="shared" ref="CR7" si="24">CQ7+1</f>
        <v>96</v>
      </c>
      <c r="CS7" s="63">
        <f t="shared" ref="CS7" si="25">CR7+1</f>
        <v>97</v>
      </c>
      <c r="CT7" s="63">
        <f>CS7+1</f>
        <v>98</v>
      </c>
      <c r="CU7" s="63">
        <f t="shared" ref="CU7" si="26">CT7+1</f>
        <v>99</v>
      </c>
      <c r="CV7" s="63">
        <f t="shared" ref="CV7" si="27">CU7+1</f>
        <v>100</v>
      </c>
      <c r="CW7" s="114">
        <f t="shared" ref="CW7" si="28">CV7+1</f>
        <v>101</v>
      </c>
      <c r="CX7" s="62">
        <f t="shared" ref="CX7" si="29">CW7+1</f>
        <v>102</v>
      </c>
      <c r="CY7" s="63">
        <f t="shared" ref="CY7" si="30">CX7+1</f>
        <v>103</v>
      </c>
      <c r="CZ7" s="63">
        <f>CY7+1</f>
        <v>104</v>
      </c>
      <c r="DA7" s="63">
        <f t="shared" ref="DA7" si="31">CZ7+1</f>
        <v>105</v>
      </c>
      <c r="DB7" s="63">
        <f t="shared" ref="DB7" si="32">DA7+1</f>
        <v>106</v>
      </c>
      <c r="DC7" s="114">
        <f t="shared" ref="DC7" si="33">DB7+1</f>
        <v>107</v>
      </c>
      <c r="DD7" s="62">
        <f t="shared" ref="DD7" si="34">DC7+1</f>
        <v>108</v>
      </c>
      <c r="DE7" s="63">
        <f t="shared" ref="DE7" si="35">DD7+1</f>
        <v>109</v>
      </c>
      <c r="DF7" s="63">
        <f>DE7+1</f>
        <v>110</v>
      </c>
      <c r="DG7" s="63">
        <f t="shared" ref="DG7" si="36">DF7+1</f>
        <v>111</v>
      </c>
      <c r="DH7" s="63">
        <f t="shared" ref="DH7" si="37">DG7+1</f>
        <v>112</v>
      </c>
      <c r="DI7" s="114">
        <f t="shared" ref="DI7" si="38">DH7+1</f>
        <v>113</v>
      </c>
      <c r="DJ7" s="62">
        <f t="shared" ref="DJ7" si="39">DI7+1</f>
        <v>114</v>
      </c>
      <c r="DK7" s="63">
        <f t="shared" ref="DK7" si="40">DJ7+1</f>
        <v>115</v>
      </c>
      <c r="DL7" s="63">
        <f>DK7+1</f>
        <v>116</v>
      </c>
      <c r="DM7" s="63">
        <f t="shared" ref="DM7" si="41">DL7+1</f>
        <v>117</v>
      </c>
      <c r="DN7" s="63">
        <f t="shared" ref="DN7" si="42">DM7+1</f>
        <v>118</v>
      </c>
      <c r="DO7" s="114">
        <f t="shared" ref="DO7" si="43">DN7+1</f>
        <v>119</v>
      </c>
      <c r="DP7" s="62">
        <f t="shared" ref="DP7" si="44">DO7+1</f>
        <v>120</v>
      </c>
      <c r="DQ7" s="63">
        <f t="shared" ref="DQ7" si="45">DP7+1</f>
        <v>121</v>
      </c>
      <c r="DR7" s="63">
        <f>DQ7+1</f>
        <v>122</v>
      </c>
      <c r="DS7" s="63">
        <f t="shared" ref="DS7" si="46">DR7+1</f>
        <v>123</v>
      </c>
      <c r="DT7" s="63">
        <f t="shared" ref="DT7" si="47">DS7+1</f>
        <v>124</v>
      </c>
      <c r="DU7" s="114">
        <f t="shared" ref="DU7" si="48">DT7+1</f>
        <v>125</v>
      </c>
      <c r="DV7" s="62">
        <f t="shared" ref="DV7" si="49">DU7+1</f>
        <v>126</v>
      </c>
      <c r="DW7" s="63">
        <f t="shared" ref="DW7" si="50">DV7+1</f>
        <v>127</v>
      </c>
      <c r="DX7" s="63">
        <f>DW7+1</f>
        <v>128</v>
      </c>
      <c r="DY7" s="63">
        <f t="shared" ref="DY7" si="51">DX7+1</f>
        <v>129</v>
      </c>
      <c r="DZ7" s="63">
        <f t="shared" ref="DZ7" si="52">DY7+1</f>
        <v>130</v>
      </c>
      <c r="EA7" s="114">
        <f t="shared" ref="EA7" si="53">DZ7+1</f>
        <v>131</v>
      </c>
      <c r="EB7" s="62">
        <f t="shared" ref="EB7" si="54">EA7+1</f>
        <v>132</v>
      </c>
      <c r="EC7" s="63">
        <f t="shared" ref="EC7" si="55">EB7+1</f>
        <v>133</v>
      </c>
      <c r="ED7" s="63">
        <f>EC7+1</f>
        <v>134</v>
      </c>
      <c r="EE7" s="63">
        <f t="shared" ref="EE7" si="56">ED7+1</f>
        <v>135</v>
      </c>
      <c r="EF7" s="63">
        <f t="shared" ref="EF7" si="57">EE7+1</f>
        <v>136</v>
      </c>
      <c r="EG7" s="114">
        <f t="shared" ref="EG7" si="58">EF7+1</f>
        <v>137</v>
      </c>
      <c r="EH7" s="62">
        <f t="shared" ref="EH7" si="59">EG7+1</f>
        <v>138</v>
      </c>
      <c r="EI7" s="63">
        <f t="shared" ref="EI7" si="60">EH7+1</f>
        <v>139</v>
      </c>
      <c r="EJ7" s="63">
        <f>EI7+1</f>
        <v>140</v>
      </c>
      <c r="EK7" s="63">
        <f t="shared" ref="EK7" si="61">EJ7+1</f>
        <v>141</v>
      </c>
      <c r="EL7" s="63">
        <f t="shared" ref="EL7" si="62">EK7+1</f>
        <v>142</v>
      </c>
      <c r="EM7" s="114">
        <f t="shared" ref="EM7" si="63">EL7+1</f>
        <v>143</v>
      </c>
      <c r="EN7" s="62">
        <f t="shared" ref="EN7" si="64">EM7+1</f>
        <v>144</v>
      </c>
      <c r="EO7" s="63">
        <f t="shared" ref="EO7" si="65">EN7+1</f>
        <v>145</v>
      </c>
      <c r="EP7" s="63">
        <f>EO7+1</f>
        <v>146</v>
      </c>
      <c r="EQ7" s="63">
        <f t="shared" ref="EQ7" si="66">EP7+1</f>
        <v>147</v>
      </c>
      <c r="ER7" s="63">
        <f t="shared" ref="ER7" si="67">EQ7+1</f>
        <v>148</v>
      </c>
      <c r="ES7" s="114">
        <f t="shared" ref="ES7" si="68">ER7+1</f>
        <v>149</v>
      </c>
      <c r="ET7" s="62">
        <f t="shared" ref="ET7" si="69">ES7+1</f>
        <v>150</v>
      </c>
      <c r="EU7" s="63">
        <f t="shared" ref="EU7" si="70">ET7+1</f>
        <v>151</v>
      </c>
      <c r="EV7" s="63">
        <f>EU7+1</f>
        <v>152</v>
      </c>
      <c r="EW7" s="63">
        <f t="shared" ref="EW7" si="71">EV7+1</f>
        <v>153</v>
      </c>
      <c r="EX7" s="63">
        <f t="shared" ref="EX7" si="72">EW7+1</f>
        <v>154</v>
      </c>
      <c r="EY7" s="114">
        <f t="shared" ref="EY7" si="73">EX7+1</f>
        <v>155</v>
      </c>
      <c r="EZ7" s="62">
        <f t="shared" ref="EZ7" si="74">EY7+1</f>
        <v>156</v>
      </c>
      <c r="FA7" s="63">
        <f t="shared" ref="FA7" si="75">EZ7+1</f>
        <v>157</v>
      </c>
      <c r="FB7" s="63">
        <f>FA7+1</f>
        <v>158</v>
      </c>
      <c r="FC7" s="63">
        <f t="shared" ref="FC7" si="76">FB7+1</f>
        <v>159</v>
      </c>
      <c r="FD7" s="63">
        <f t="shared" ref="FD7" si="77">FC7+1</f>
        <v>160</v>
      </c>
      <c r="FE7" s="114">
        <f t="shared" ref="FE7" si="78">FD7+1</f>
        <v>161</v>
      </c>
      <c r="FF7" s="62">
        <f t="shared" ref="FF7" si="79">FE7+1</f>
        <v>162</v>
      </c>
      <c r="FG7" s="63">
        <f t="shared" ref="FG7" si="80">FF7+1</f>
        <v>163</v>
      </c>
      <c r="FH7" s="63">
        <f>FG7+1</f>
        <v>164</v>
      </c>
      <c r="FI7" s="63">
        <f t="shared" ref="FI7" si="81">FH7+1</f>
        <v>165</v>
      </c>
      <c r="FJ7" s="63">
        <f t="shared" ref="FJ7" si="82">FI7+1</f>
        <v>166</v>
      </c>
      <c r="FK7" s="114">
        <f t="shared" ref="FK7" si="83">FJ7+1</f>
        <v>167</v>
      </c>
      <c r="FL7" s="62">
        <f t="shared" ref="FL7" si="84">FK7+1</f>
        <v>168</v>
      </c>
      <c r="FM7" s="63">
        <f t="shared" ref="FM7" si="85">FL7+1</f>
        <v>169</v>
      </c>
      <c r="FN7" s="63">
        <f>FM7+1</f>
        <v>170</v>
      </c>
      <c r="FO7" s="63">
        <f t="shared" ref="FO7" si="86">FN7+1</f>
        <v>171</v>
      </c>
      <c r="FP7" s="63">
        <f t="shared" ref="FP7" si="87">FO7+1</f>
        <v>172</v>
      </c>
      <c r="FQ7" s="114">
        <f t="shared" ref="FQ7" si="88">FP7+1</f>
        <v>173</v>
      </c>
      <c r="FR7" s="62">
        <f t="shared" ref="FR7" si="89">FQ7+1</f>
        <v>174</v>
      </c>
      <c r="FS7" s="63">
        <f t="shared" ref="FS7" si="90">FR7+1</f>
        <v>175</v>
      </c>
      <c r="FT7" s="63">
        <f>FS7+1</f>
        <v>176</v>
      </c>
      <c r="FU7" s="63">
        <f t="shared" ref="FU7" si="91">FT7+1</f>
        <v>177</v>
      </c>
      <c r="FV7" s="63">
        <f t="shared" ref="FV7" si="92">FU7+1</f>
        <v>178</v>
      </c>
      <c r="FW7" s="114">
        <f t="shared" ref="FW7" si="93">FV7+1</f>
        <v>179</v>
      </c>
      <c r="FX7" s="62">
        <f t="shared" ref="FX7" si="94">FW7+1</f>
        <v>180</v>
      </c>
      <c r="FY7" s="63">
        <f t="shared" ref="FY7" si="95">FX7+1</f>
        <v>181</v>
      </c>
      <c r="FZ7" s="63">
        <f>FY7+1</f>
        <v>182</v>
      </c>
      <c r="GA7" s="63">
        <f t="shared" ref="GA7" si="96">FZ7+1</f>
        <v>183</v>
      </c>
      <c r="GB7" s="63">
        <f t="shared" ref="GB7" si="97">GA7+1</f>
        <v>184</v>
      </c>
      <c r="GC7" s="114">
        <f t="shared" ref="GC7" si="98">GB7+1</f>
        <v>185</v>
      </c>
      <c r="GD7" s="62">
        <f t="shared" ref="GD7" si="99">GC7+1</f>
        <v>186</v>
      </c>
      <c r="GE7" s="63">
        <f t="shared" ref="GE7" si="100">GD7+1</f>
        <v>187</v>
      </c>
      <c r="GF7" s="63">
        <f>GE7+1</f>
        <v>188</v>
      </c>
      <c r="GG7" s="63">
        <f t="shared" ref="GG7" si="101">GF7+1</f>
        <v>189</v>
      </c>
      <c r="GH7" s="63">
        <f t="shared" ref="GH7" si="102">GG7+1</f>
        <v>190</v>
      </c>
      <c r="GI7" s="114">
        <f t="shared" ref="GI7" si="103">GH7+1</f>
        <v>191</v>
      </c>
      <c r="GJ7" s="64">
        <f>GI7+1</f>
        <v>192</v>
      </c>
      <c r="GK7" s="157">
        <f>GJ7+1</f>
        <v>193</v>
      </c>
      <c r="GL7" s="86">
        <f>GK7+1</f>
        <v>194</v>
      </c>
    </row>
    <row r="8" spans="1:196" s="28" customFormat="1" ht="15" thickBot="1" x14ac:dyDescent="0.3">
      <c r="A8" s="104" t="s">
        <v>3</v>
      </c>
      <c r="B8" s="108" t="s">
        <v>4</v>
      </c>
      <c r="C8" s="57" t="s">
        <v>49</v>
      </c>
      <c r="D8" s="61" t="s">
        <v>4</v>
      </c>
      <c r="E8" s="57" t="s">
        <v>49</v>
      </c>
      <c r="F8" s="61" t="s">
        <v>4</v>
      </c>
      <c r="G8" s="60" t="s">
        <v>5</v>
      </c>
      <c r="H8" s="58" t="s">
        <v>4</v>
      </c>
      <c r="I8" s="58" t="s">
        <v>50</v>
      </c>
      <c r="J8" s="115" t="s">
        <v>68</v>
      </c>
      <c r="K8" s="120" t="s">
        <v>50</v>
      </c>
      <c r="L8" s="59" t="s">
        <v>4</v>
      </c>
      <c r="M8" s="57" t="s">
        <v>50</v>
      </c>
      <c r="N8" s="58" t="s">
        <v>50</v>
      </c>
      <c r="O8" s="58" t="s">
        <v>50</v>
      </c>
      <c r="P8" s="58" t="s">
        <v>4</v>
      </c>
      <c r="Q8" s="61" t="s">
        <v>4</v>
      </c>
      <c r="R8" s="57" t="s">
        <v>4</v>
      </c>
      <c r="S8" s="58" t="s">
        <v>50</v>
      </c>
      <c r="T8" s="58" t="s">
        <v>50</v>
      </c>
      <c r="U8" s="58" t="s">
        <v>50</v>
      </c>
      <c r="V8" s="58" t="s">
        <v>4</v>
      </c>
      <c r="W8" s="61" t="s">
        <v>4</v>
      </c>
      <c r="X8" s="57" t="s">
        <v>4</v>
      </c>
      <c r="Y8" s="58" t="s">
        <v>50</v>
      </c>
      <c r="Z8" s="58" t="s">
        <v>50</v>
      </c>
      <c r="AA8" s="58" t="s">
        <v>50</v>
      </c>
      <c r="AB8" s="58" t="s">
        <v>4</v>
      </c>
      <c r="AC8" s="61" t="s">
        <v>4</v>
      </c>
      <c r="AD8" s="57" t="s">
        <v>4</v>
      </c>
      <c r="AE8" s="58" t="s">
        <v>50</v>
      </c>
      <c r="AF8" s="58" t="s">
        <v>50</v>
      </c>
      <c r="AG8" s="58" t="s">
        <v>50</v>
      </c>
      <c r="AH8" s="58" t="s">
        <v>4</v>
      </c>
      <c r="AI8" s="61" t="s">
        <v>4</v>
      </c>
      <c r="AJ8" s="57" t="s">
        <v>4</v>
      </c>
      <c r="AK8" s="58" t="s">
        <v>50</v>
      </c>
      <c r="AL8" s="58" t="s">
        <v>50</v>
      </c>
      <c r="AM8" s="58" t="s">
        <v>50</v>
      </c>
      <c r="AN8" s="58" t="s">
        <v>4</v>
      </c>
      <c r="AO8" s="61" t="s">
        <v>4</v>
      </c>
      <c r="AP8" s="57" t="s">
        <v>4</v>
      </c>
      <c r="AQ8" s="58" t="s">
        <v>50</v>
      </c>
      <c r="AR8" s="58" t="s">
        <v>50</v>
      </c>
      <c r="AS8" s="58" t="s">
        <v>50</v>
      </c>
      <c r="AT8" s="58" t="s">
        <v>4</v>
      </c>
      <c r="AU8" s="61" t="s">
        <v>4</v>
      </c>
      <c r="AV8" s="57" t="s">
        <v>4</v>
      </c>
      <c r="AW8" s="58" t="s">
        <v>50</v>
      </c>
      <c r="AX8" s="58" t="s">
        <v>50</v>
      </c>
      <c r="AY8" s="58" t="s">
        <v>50</v>
      </c>
      <c r="AZ8" s="58" t="s">
        <v>4</v>
      </c>
      <c r="BA8" s="61" t="s">
        <v>4</v>
      </c>
      <c r="BB8" s="57" t="s">
        <v>4</v>
      </c>
      <c r="BC8" s="58" t="s">
        <v>50</v>
      </c>
      <c r="BD8" s="58" t="s">
        <v>50</v>
      </c>
      <c r="BE8" s="58" t="s">
        <v>50</v>
      </c>
      <c r="BF8" s="58" t="s">
        <v>4</v>
      </c>
      <c r="BG8" s="61" t="s">
        <v>4</v>
      </c>
      <c r="BH8" s="57" t="s">
        <v>4</v>
      </c>
      <c r="BI8" s="58" t="s">
        <v>50</v>
      </c>
      <c r="BJ8" s="58" t="s">
        <v>50</v>
      </c>
      <c r="BK8" s="58" t="s">
        <v>50</v>
      </c>
      <c r="BL8" s="58" t="s">
        <v>4</v>
      </c>
      <c r="BM8" s="61" t="s">
        <v>4</v>
      </c>
      <c r="BN8" s="57" t="s">
        <v>4</v>
      </c>
      <c r="BO8" s="58" t="s">
        <v>50</v>
      </c>
      <c r="BP8" s="58" t="s">
        <v>50</v>
      </c>
      <c r="BQ8" s="58" t="s">
        <v>50</v>
      </c>
      <c r="BR8" s="58" t="s">
        <v>4</v>
      </c>
      <c r="BS8" s="115" t="s">
        <v>4</v>
      </c>
      <c r="BT8" s="57" t="s">
        <v>4</v>
      </c>
      <c r="BU8" s="58" t="s">
        <v>50</v>
      </c>
      <c r="BV8" s="58" t="s">
        <v>50</v>
      </c>
      <c r="BW8" s="58" t="s">
        <v>50</v>
      </c>
      <c r="BX8" s="58" t="s">
        <v>4</v>
      </c>
      <c r="BY8" s="115" t="s">
        <v>4</v>
      </c>
      <c r="BZ8" s="57" t="s">
        <v>4</v>
      </c>
      <c r="CA8" s="58" t="s">
        <v>50</v>
      </c>
      <c r="CB8" s="58" t="s">
        <v>50</v>
      </c>
      <c r="CC8" s="58" t="s">
        <v>50</v>
      </c>
      <c r="CD8" s="58" t="s">
        <v>4</v>
      </c>
      <c r="CE8" s="115" t="s">
        <v>4</v>
      </c>
      <c r="CF8" s="57" t="s">
        <v>4</v>
      </c>
      <c r="CG8" s="58" t="s">
        <v>50</v>
      </c>
      <c r="CH8" s="58" t="s">
        <v>50</v>
      </c>
      <c r="CI8" s="58" t="s">
        <v>50</v>
      </c>
      <c r="CJ8" s="58" t="s">
        <v>4</v>
      </c>
      <c r="CK8" s="115" t="s">
        <v>4</v>
      </c>
      <c r="CL8" s="57" t="s">
        <v>4</v>
      </c>
      <c r="CM8" s="58" t="s">
        <v>50</v>
      </c>
      <c r="CN8" s="58" t="s">
        <v>50</v>
      </c>
      <c r="CO8" s="58" t="s">
        <v>50</v>
      </c>
      <c r="CP8" s="58" t="s">
        <v>4</v>
      </c>
      <c r="CQ8" s="115" t="s">
        <v>4</v>
      </c>
      <c r="CR8" s="57" t="s">
        <v>4</v>
      </c>
      <c r="CS8" s="58" t="s">
        <v>50</v>
      </c>
      <c r="CT8" s="58" t="s">
        <v>50</v>
      </c>
      <c r="CU8" s="58" t="s">
        <v>50</v>
      </c>
      <c r="CV8" s="58" t="s">
        <v>4</v>
      </c>
      <c r="CW8" s="115" t="s">
        <v>4</v>
      </c>
      <c r="CX8" s="57" t="s">
        <v>4</v>
      </c>
      <c r="CY8" s="58" t="s">
        <v>50</v>
      </c>
      <c r="CZ8" s="58" t="s">
        <v>50</v>
      </c>
      <c r="DA8" s="58" t="s">
        <v>50</v>
      </c>
      <c r="DB8" s="58" t="s">
        <v>4</v>
      </c>
      <c r="DC8" s="115" t="s">
        <v>4</v>
      </c>
      <c r="DD8" s="57" t="s">
        <v>4</v>
      </c>
      <c r="DE8" s="58" t="s">
        <v>50</v>
      </c>
      <c r="DF8" s="58" t="s">
        <v>50</v>
      </c>
      <c r="DG8" s="58" t="s">
        <v>50</v>
      </c>
      <c r="DH8" s="58" t="s">
        <v>4</v>
      </c>
      <c r="DI8" s="115" t="s">
        <v>4</v>
      </c>
      <c r="DJ8" s="57" t="s">
        <v>4</v>
      </c>
      <c r="DK8" s="58" t="s">
        <v>50</v>
      </c>
      <c r="DL8" s="58" t="s">
        <v>50</v>
      </c>
      <c r="DM8" s="58" t="s">
        <v>50</v>
      </c>
      <c r="DN8" s="58" t="s">
        <v>4</v>
      </c>
      <c r="DO8" s="115" t="s">
        <v>4</v>
      </c>
      <c r="DP8" s="57" t="s">
        <v>4</v>
      </c>
      <c r="DQ8" s="58" t="s">
        <v>50</v>
      </c>
      <c r="DR8" s="58" t="s">
        <v>50</v>
      </c>
      <c r="DS8" s="58" t="s">
        <v>50</v>
      </c>
      <c r="DT8" s="58" t="s">
        <v>4</v>
      </c>
      <c r="DU8" s="115" t="s">
        <v>4</v>
      </c>
      <c r="DV8" s="57" t="s">
        <v>4</v>
      </c>
      <c r="DW8" s="58" t="s">
        <v>50</v>
      </c>
      <c r="DX8" s="58" t="s">
        <v>50</v>
      </c>
      <c r="DY8" s="58" t="s">
        <v>50</v>
      </c>
      <c r="DZ8" s="163" t="s">
        <v>4</v>
      </c>
      <c r="EA8" s="115" t="s">
        <v>4</v>
      </c>
      <c r="EB8" s="57" t="s">
        <v>4</v>
      </c>
      <c r="EC8" s="58" t="s">
        <v>50</v>
      </c>
      <c r="ED8" s="58" t="s">
        <v>50</v>
      </c>
      <c r="EE8" s="58" t="s">
        <v>50</v>
      </c>
      <c r="EF8" s="163" t="s">
        <v>4</v>
      </c>
      <c r="EG8" s="115" t="s">
        <v>4</v>
      </c>
      <c r="EH8" s="57" t="s">
        <v>4</v>
      </c>
      <c r="EI8" s="58" t="s">
        <v>50</v>
      </c>
      <c r="EJ8" s="58" t="s">
        <v>50</v>
      </c>
      <c r="EK8" s="58" t="s">
        <v>50</v>
      </c>
      <c r="EL8" s="163" t="s">
        <v>4</v>
      </c>
      <c r="EM8" s="115" t="s">
        <v>4</v>
      </c>
      <c r="EN8" s="37" t="s">
        <v>4</v>
      </c>
      <c r="EO8" s="38" t="s">
        <v>50</v>
      </c>
      <c r="EP8" s="38" t="s">
        <v>50</v>
      </c>
      <c r="EQ8" s="38" t="s">
        <v>50</v>
      </c>
      <c r="ER8" s="38" t="s">
        <v>4</v>
      </c>
      <c r="ES8" s="39" t="s">
        <v>4</v>
      </c>
      <c r="ET8" s="57" t="s">
        <v>4</v>
      </c>
      <c r="EU8" s="58" t="s">
        <v>50</v>
      </c>
      <c r="EV8" s="58" t="s">
        <v>50</v>
      </c>
      <c r="EW8" s="58" t="s">
        <v>50</v>
      </c>
      <c r="EX8" s="163" t="s">
        <v>4</v>
      </c>
      <c r="EY8" s="115" t="s">
        <v>4</v>
      </c>
      <c r="EZ8" s="57" t="s">
        <v>4</v>
      </c>
      <c r="FA8" s="58" t="s">
        <v>50</v>
      </c>
      <c r="FB8" s="58" t="s">
        <v>50</v>
      </c>
      <c r="FC8" s="58" t="s">
        <v>50</v>
      </c>
      <c r="FD8" s="163" t="s">
        <v>4</v>
      </c>
      <c r="FE8" s="115" t="s">
        <v>4</v>
      </c>
      <c r="FF8" s="57" t="s">
        <v>4</v>
      </c>
      <c r="FG8" s="58" t="s">
        <v>50</v>
      </c>
      <c r="FH8" s="58" t="s">
        <v>50</v>
      </c>
      <c r="FI8" s="58" t="s">
        <v>50</v>
      </c>
      <c r="FJ8" s="163" t="s">
        <v>4</v>
      </c>
      <c r="FK8" s="115" t="s">
        <v>4</v>
      </c>
      <c r="FL8" s="57" t="s">
        <v>4</v>
      </c>
      <c r="FM8" s="58" t="s">
        <v>50</v>
      </c>
      <c r="FN8" s="58" t="s">
        <v>50</v>
      </c>
      <c r="FO8" s="58" t="s">
        <v>50</v>
      </c>
      <c r="FP8" s="163" t="s">
        <v>4</v>
      </c>
      <c r="FQ8" s="115" t="s">
        <v>4</v>
      </c>
      <c r="FR8" s="57" t="s">
        <v>4</v>
      </c>
      <c r="FS8" s="58" t="s">
        <v>50</v>
      </c>
      <c r="FT8" s="58" t="s">
        <v>50</v>
      </c>
      <c r="FU8" s="58" t="s">
        <v>50</v>
      </c>
      <c r="FV8" s="163" t="s">
        <v>4</v>
      </c>
      <c r="FW8" s="115" t="s">
        <v>4</v>
      </c>
      <c r="FX8" s="57" t="s">
        <v>4</v>
      </c>
      <c r="FY8" s="58" t="s">
        <v>50</v>
      </c>
      <c r="FZ8" s="58" t="s">
        <v>50</v>
      </c>
      <c r="GA8" s="58" t="s">
        <v>50</v>
      </c>
      <c r="GB8" s="163" t="s">
        <v>4</v>
      </c>
      <c r="GC8" s="115" t="s">
        <v>4</v>
      </c>
      <c r="GD8" s="57" t="s">
        <v>4</v>
      </c>
      <c r="GE8" s="58" t="s">
        <v>50</v>
      </c>
      <c r="GF8" s="58" t="s">
        <v>50</v>
      </c>
      <c r="GG8" s="58" t="s">
        <v>50</v>
      </c>
      <c r="GH8" s="163" t="s">
        <v>4</v>
      </c>
      <c r="GI8" s="115" t="s">
        <v>4</v>
      </c>
      <c r="GJ8" s="160" t="s">
        <v>4</v>
      </c>
      <c r="GK8" s="159" t="s">
        <v>4</v>
      </c>
      <c r="GL8" s="87" t="s">
        <v>50</v>
      </c>
    </row>
    <row r="9" spans="1:196" s="25" customFormat="1" x14ac:dyDescent="0.3">
      <c r="A9" s="192" t="s">
        <v>181</v>
      </c>
      <c r="B9" s="143" t="s">
        <v>8</v>
      </c>
      <c r="C9" s="143" t="s">
        <v>8</v>
      </c>
      <c r="D9" s="143" t="s">
        <v>8</v>
      </c>
      <c r="E9" s="143" t="s">
        <v>8</v>
      </c>
      <c r="F9" s="143" t="s">
        <v>8</v>
      </c>
      <c r="G9" s="109">
        <f>'Исходные данные'!C11</f>
        <v>9596</v>
      </c>
      <c r="H9" s="51">
        <f>'Исходные данные'!D11</f>
        <v>11428012</v>
      </c>
      <c r="I9" s="52">
        <f>'Расчет КРП'!F7</f>
        <v>1.4337378560842804</v>
      </c>
      <c r="J9" s="116" t="s">
        <v>8</v>
      </c>
      <c r="K9" s="145">
        <f t="shared" ref="K9:K16" si="104">((H9/G9)/($H$17/$G$17))/I9</f>
        <v>0.59961067973125526</v>
      </c>
      <c r="L9" s="146">
        <f t="shared" ref="L9:L16" si="105">$D$17*G9/$G$17</f>
        <v>1455911.8613029828</v>
      </c>
      <c r="M9" s="149">
        <f t="shared" ref="M9:M16" si="106">(((H9+L9)/G9)/$J$17)/I9</f>
        <v>0.67600019531670252</v>
      </c>
      <c r="N9" s="150" t="s">
        <v>8</v>
      </c>
      <c r="O9" s="151">
        <f t="shared" ref="O9:O16" si="107">$N$17-M9</f>
        <v>-0.18535139222784619</v>
      </c>
      <c r="P9" s="164">
        <f t="shared" ref="P9:P16" si="108">IF(O9&gt;0,G9*I9*(($H$17+$L$17)/$G$17)*O9,0)</f>
        <v>0</v>
      </c>
      <c r="Q9" s="152">
        <f t="shared" ref="Q9:Q16" si="109">IF(($F$17-P$17)&gt;0,P9,$F$17*P9/P$17)</f>
        <v>0</v>
      </c>
      <c r="R9" s="147" t="s">
        <v>8</v>
      </c>
      <c r="S9" s="50" t="s">
        <v>8</v>
      </c>
      <c r="T9" s="54">
        <f t="shared" ref="T9:T16" si="110">(((H9+L9+Q9)/G9)/$J$17)/I9</f>
        <v>0.67600019531670252</v>
      </c>
      <c r="U9" s="53">
        <f t="shared" ref="U9:U16" si="111">S$17-T9</f>
        <v>-7.6270806551554826E-2</v>
      </c>
      <c r="V9" s="55">
        <f t="shared" ref="V9:V16" si="112">IF(U9&gt;0,$G9*$I9*(($H$17+$L$17+$Q$17)/$G$17)*U9,0)</f>
        <v>0</v>
      </c>
      <c r="W9" s="81">
        <f t="shared" ref="W9:W16" si="113">IF((R$17-V$17)&gt;0,V9,R$17*V9/V$17)</f>
        <v>0</v>
      </c>
      <c r="X9" s="77" t="s">
        <v>8</v>
      </c>
      <c r="Y9" s="50" t="s">
        <v>8</v>
      </c>
      <c r="Z9" s="54">
        <f t="shared" ref="Z9:Z16" si="114">(((H9+L9+Q9+W9)/G9)/$J$17)/I9</f>
        <v>0.67600019531670252</v>
      </c>
      <c r="AA9" s="53">
        <f t="shared" ref="AA9:AA16" si="115">Y$17-Z9</f>
        <v>2.7548526528775596E-4</v>
      </c>
      <c r="AB9" s="55">
        <f t="shared" ref="AB9:AB16" si="116">IF(AA9&gt;0,$G9*$I9*(($H$17+$L$17+$Q$17+$W$17)/$G$17)*AA9,0)</f>
        <v>7435.3521251642205</v>
      </c>
      <c r="AC9" s="81">
        <f t="shared" ref="AC9:AC16" si="117">IF((X$17-AB$17)&gt;0,AB9,X$17*AB9/AB$17)</f>
        <v>7435.3521251642205</v>
      </c>
      <c r="AD9" s="77" t="s">
        <v>8</v>
      </c>
      <c r="AE9" s="50" t="s">
        <v>8</v>
      </c>
      <c r="AF9" s="54">
        <f t="shared" ref="AF9:AF16" si="118">(((H9+L9+Q9+W9+AC9)/G9)/$J$17)/I9</f>
        <v>0.67639031711057274</v>
      </c>
      <c r="AG9" s="53">
        <f t="shared" ref="AG9:AG16" si="119">AE$17-AF9</f>
        <v>5.7189658893020412E-2</v>
      </c>
      <c r="AH9" s="55">
        <f t="shared" ref="AH9:AH16" si="120">IF(AG9&gt;0,$G9*$I9*(($H$17+$L$17+$Q$17+$W$17+$AC$17)/$G$17)*AG9,0)</f>
        <v>1649137.6701260319</v>
      </c>
      <c r="AI9" s="81">
        <f t="shared" ref="AI9:AI16" si="121">IF((AD$17-AH$17)&gt;0,AH9,AD$17*AH9/AH$17)</f>
        <v>1649137.6701260319</v>
      </c>
      <c r="AJ9" s="77" t="s">
        <v>8</v>
      </c>
      <c r="AK9" s="50" t="s">
        <v>8</v>
      </c>
      <c r="AL9" s="54">
        <f t="shared" ref="AL9:AL16" si="122">(((H9+L9+Q9+W9+AC9+AI9)/G9)/$J$17)/I9</f>
        <v>0.76291810158915818</v>
      </c>
      <c r="AM9" s="53">
        <f t="shared" ref="AM9:AM16" si="123">AK$17-AL9</f>
        <v>2.1048462792815026E-2</v>
      </c>
      <c r="AN9" s="55">
        <f t="shared" ref="AN9:AN16" si="124">IF(AM9&gt;0,$G9*$I9*(($H$17+$L$17+$Q$17+$W$17+$AC$17+$AI$17)/$G$17)*AM9,0)</f>
        <v>652690.2375045307</v>
      </c>
      <c r="AO9" s="81">
        <f t="shared" ref="AO9:AO16" si="125">IF((AJ$17-AN$17)&gt;0,AN9,AJ$17*AN9/AN$17)</f>
        <v>652690.2375045307</v>
      </c>
      <c r="AP9" s="77" t="s">
        <v>8</v>
      </c>
      <c r="AQ9" s="50" t="s">
        <v>8</v>
      </c>
      <c r="AR9" s="54">
        <f t="shared" ref="AR9:AR16" si="126">(((H9+L9+Q9+W9+AC9+AI9+AO9)/G9)/$J$17)/I9</f>
        <v>0.7971637811495268</v>
      </c>
      <c r="AS9" s="53">
        <f t="shared" ref="AS9:AS16" si="127">AQ$17-AR9</f>
        <v>3.0738365864553474E-2</v>
      </c>
      <c r="AT9" s="55">
        <f t="shared" ref="AT9:AT16" si="128">IF(AS9&gt;0,$G9*$I9*(($H$17+$L$17+$Q$17+$W$17+$AC$17+$AI$17+$AO$17)/$G$17)*AS9,0)</f>
        <v>1003325.2500381247</v>
      </c>
      <c r="AU9" s="81">
        <f t="shared" ref="AU9:AU16" si="129">IF((AP$17-AT$17)&gt;0,AT9,AP$17*AT9/AT$17)</f>
        <v>220478.54558816768</v>
      </c>
      <c r="AV9" s="77" t="s">
        <v>8</v>
      </c>
      <c r="AW9" s="50" t="s">
        <v>8</v>
      </c>
      <c r="AX9" s="54">
        <f t="shared" ref="AX9:AX16" si="130">(((H9+L9+Q9+W9+AC9+AI9+AO9+AU9)/G9)/$J$17)/I9</f>
        <v>0.8087319603381975</v>
      </c>
      <c r="AY9" s="53">
        <f t="shared" ref="AY9:AY16" si="131">AW$17-AX9</f>
        <v>2.7266171714983578E-2</v>
      </c>
      <c r="AZ9" s="55">
        <f t="shared" ref="AZ9:AZ16" si="132">IF(AY9&gt;0,$G9*$I9*(($H$17+$L$17+$Q$17+$W$17+$AC$17+$AI$17+$AO$17+$AU$17)/$G$17)*AY9,0)</f>
        <v>899102.73387826874</v>
      </c>
      <c r="BA9" s="81">
        <f t="shared" ref="BA9:BA16" si="133">IF((AV$17-AZ$17)&gt;0,AZ9,AV$17*AZ9/AZ$17)</f>
        <v>0</v>
      </c>
      <c r="BB9" s="77" t="s">
        <v>8</v>
      </c>
      <c r="BC9" s="50" t="s">
        <v>8</v>
      </c>
      <c r="BD9" s="54">
        <f t="shared" ref="BD9:BD16" si="134">(((H9+L9+Q9+W9+AC9+AI9+AO9+AU9+BA9)/G9)/$J$17)/I9</f>
        <v>0.8087319603381975</v>
      </c>
      <c r="BE9" s="53">
        <f t="shared" ref="BE9:BE16" si="135">BC$17-BD9</f>
        <v>2.7266171714983578E-2</v>
      </c>
      <c r="BF9" s="55">
        <f t="shared" ref="BF9:BF16" si="136">IF(BE9&gt;0,$G9*$I9*(($H$17+$L$17+$Q$17+$W$17+$AC$17+$AI$17+$AO$17+$AU$17+$BA$17)/$G$17)*BE9,0)</f>
        <v>899102.73387826874</v>
      </c>
      <c r="BG9" s="81">
        <f t="shared" ref="BG9:BG16" si="137">IF((BB$17-BF$17)&gt;0,BF9,BB$17*BF9/BF$17)</f>
        <v>0</v>
      </c>
      <c r="BH9" s="77" t="s">
        <v>8</v>
      </c>
      <c r="BI9" s="50" t="s">
        <v>8</v>
      </c>
      <c r="BJ9" s="54">
        <f t="shared" ref="BJ9:BJ16" si="138">(((H9+L9+Q9+W9+AC9+AI9+AO9+AU9+BA9+BG9)/G9)/$J$17)/I9</f>
        <v>0.8087319603381975</v>
      </c>
      <c r="BK9" s="53">
        <f t="shared" ref="BK9:BK16" si="139">BI$17-BJ9</f>
        <v>2.7266171714983578E-2</v>
      </c>
      <c r="BL9" s="55">
        <f t="shared" ref="BL9:BL16" si="140">IF(BK9&gt;0,$G9*$I9*(($H$17+$L$17+$Q$17+$W$17+$AC$17+$AI$17+$AO$17+$AU$17+$BA$17+$BG$17)/$G$17)*BK9,0)</f>
        <v>899102.73387826874</v>
      </c>
      <c r="BM9" s="81">
        <f t="shared" ref="BM9:BM16" si="141">IF((BH$17-BL$17)&gt;0,BL9,BH$17*BL9/BL$17)</f>
        <v>0</v>
      </c>
      <c r="BN9" s="77" t="s">
        <v>8</v>
      </c>
      <c r="BO9" s="50" t="s">
        <v>8</v>
      </c>
      <c r="BP9" s="54">
        <f t="shared" ref="BP9:BP16" si="142">(((H9+L9+Q9+W9+AC9+AI9+AO9+AU9+BA9+BG9+BM9)/G9)/$J$17)/I9</f>
        <v>0.8087319603381975</v>
      </c>
      <c r="BQ9" s="53">
        <f t="shared" ref="BQ9:BQ16" si="143">BO$17-BP9</f>
        <v>2.7266171714983578E-2</v>
      </c>
      <c r="BR9" s="55">
        <f t="shared" ref="BR9:BR16" si="144">IF(BQ9&gt;0,$G9*$I9*(($H$17+$L$17+$Q$17+$W$17+$AC$17+$AI$17+$AO$17+$AU$17+$BA$17+$BG$17+$BM$17)/$G$17)*BQ9,0)</f>
        <v>899102.73387826874</v>
      </c>
      <c r="BS9" s="131">
        <f t="shared" ref="BS9:BS16" si="145">IF((BN$17-BR$17)&gt;0,BR9,BN$17*BR9/BR$17)</f>
        <v>0</v>
      </c>
      <c r="BT9" s="77" t="s">
        <v>8</v>
      </c>
      <c r="BU9" s="50" t="s">
        <v>8</v>
      </c>
      <c r="BV9" s="54">
        <f t="shared" ref="BV9:BV16" si="146">(((H9+L9+Q9+W9+AC9+AI9+AO9+AU9+BA9+BG9+BM9+BS9)/G9)/$J$17)/I9</f>
        <v>0.8087319603381975</v>
      </c>
      <c r="BW9" s="53">
        <f t="shared" ref="BW9:BW16" si="147">BU$17-BV9</f>
        <v>2.7266171714983578E-2</v>
      </c>
      <c r="BX9" s="55">
        <f t="shared" ref="BX9:BX16" si="148">IF(BW9&gt;0,$G9*$I9*(($H$17+$L$17+$Q$17+$W$17+$AC$17+$AI$17+$AO$17+$AU$17+$BA$17+$BG$17+$BM$17+$BS$17)/$G$17)*BW9,0)</f>
        <v>899102.73387826874</v>
      </c>
      <c r="BY9" s="131">
        <f t="shared" ref="BY9:BY16" si="149">IF((BT$17-BX$17)&gt;0,BX9,BT$17*BX9/BX$17)</f>
        <v>0</v>
      </c>
      <c r="BZ9" s="77" t="s">
        <v>8</v>
      </c>
      <c r="CA9" s="50" t="s">
        <v>8</v>
      </c>
      <c r="CB9" s="54">
        <f t="shared" ref="CB9:CB16" si="150">(((H9+L9+Q9+W9+AC9+AI9+AO9+AU9+BA9+BG9+BM9+BS9+BY9)/G9)/$J$17)/I9</f>
        <v>0.8087319603381975</v>
      </c>
      <c r="CC9" s="53">
        <f t="shared" ref="CC9:CC16" si="151">CA$17-CB9</f>
        <v>2.7266171714983578E-2</v>
      </c>
      <c r="CD9" s="55">
        <f t="shared" ref="CD9:CD16" si="152">IF(CC9&gt;0,$G9*$I9*(($H$17+$L$17+$Q$17+$W$17+$AC$17+$AI$17+$AO$17+$AU$17+$BA$17+$BG$17+$BM$17+$BS$17+$BY$17)/$G$17)*CC9,0)</f>
        <v>899102.73387826874</v>
      </c>
      <c r="CE9" s="131">
        <f t="shared" ref="CE9:CE16" si="153">IF((BZ$17-CD$17)&gt;0,CD9,BZ$17*CD9/CD$17)</f>
        <v>0</v>
      </c>
      <c r="CF9" s="77" t="s">
        <v>8</v>
      </c>
      <c r="CG9" s="50" t="s">
        <v>8</v>
      </c>
      <c r="CH9" s="54">
        <f t="shared" ref="CH9:CH16" si="154">(((H9+L9+Q9+W9+AC9+AI9+AO9+AU9+BA9+BG9+BM9+BS9+BY9+CE9)/G9)/$J$17)/I9</f>
        <v>0.8087319603381975</v>
      </c>
      <c r="CI9" s="53">
        <f t="shared" ref="CI9:CI16" si="155">CG$17-CH9</f>
        <v>2.7266171714983578E-2</v>
      </c>
      <c r="CJ9" s="55">
        <f t="shared" ref="CJ9:CJ16" si="156">IF(CI9&gt;0,$G9*$I9*(($H$17+$L$17+$Q$17+$W$17+$AC$17+$AI$17+$AO$17+$AU$17+$BA$17+$BG$17+$BM$17+$BS$17+$BY$17+$CE$17)/$G$17)*CI9,0)</f>
        <v>899102.73387826874</v>
      </c>
      <c r="CK9" s="131">
        <f t="shared" ref="CK9:CK16" si="157">IF((CF$17-CJ$17)&gt;0,CJ9,CF$17*CJ9/CJ$17)</f>
        <v>0</v>
      </c>
      <c r="CL9" s="77" t="s">
        <v>8</v>
      </c>
      <c r="CM9" s="50" t="s">
        <v>8</v>
      </c>
      <c r="CN9" s="54">
        <f t="shared" ref="CN9:CN16" si="158">(((H9+L9+Q9+W9+AC9+AI9+AO9+AU9+BA9+BG9+BM9+BS9+BY9+CE9+CK9)/G9)/$J$17)/I9</f>
        <v>0.8087319603381975</v>
      </c>
      <c r="CO9" s="53">
        <f t="shared" ref="CO9:CO16" si="159">CM$17-CN9</f>
        <v>2.7266171714983578E-2</v>
      </c>
      <c r="CP9" s="55">
        <f t="shared" ref="CP9:CP16" si="160">IF(CO9&gt;0,$G9*$I9*(($H$17+$L$17+$Q$17+$W$17+$AC$17+$AI$17+$AO$17+$AU$17+$BA$17+$BG$17+$BM$17+$BS$17+$BY$17+$CE$17+$CK$17)/$G$17)*CO9,0)</f>
        <v>899102.73387826874</v>
      </c>
      <c r="CQ9" s="131">
        <f t="shared" ref="CQ9:CQ16" si="161">IF((CL$17-CP$17)&gt;0,CP9,CL$17*CP9/CP$17)</f>
        <v>0</v>
      </c>
      <c r="CR9" s="77" t="s">
        <v>8</v>
      </c>
      <c r="CS9" s="50" t="s">
        <v>8</v>
      </c>
      <c r="CT9" s="54">
        <f t="shared" ref="CT9:CT16" si="162">(((H9+L9+Q9+W9+AC9+AI9+AO9+AU9+BA9+BG9+BM9+BS9+BY9+CE9+CK9+CQ9)/G9)/$J$17)/I9</f>
        <v>0.8087319603381975</v>
      </c>
      <c r="CU9" s="53">
        <f t="shared" ref="CU9:CU16" si="163">CS$17-CT9</f>
        <v>2.7266171714983578E-2</v>
      </c>
      <c r="CV9" s="55">
        <f t="shared" ref="CV9:CV16" si="164">IF(CU9&gt;0,$G9*$I9*(($H$17+$L$17+$Q$17+$W$17+$AC$17+$AI$17+$AO$17+$AU$17+$BA$17+$BG$17+$BM$17+$BS$17+$BY$17+$CE$17+$CK$17+$CQ$17)/$G$17)*CU9,0)</f>
        <v>899102.73387826874</v>
      </c>
      <c r="CW9" s="131">
        <f t="shared" ref="CW9:CW16" si="165">IF((CR$17-CV$17)&gt;0,CV9,CR$17*CV9/CV$17)</f>
        <v>0</v>
      </c>
      <c r="CX9" s="77" t="s">
        <v>8</v>
      </c>
      <c r="CY9" s="50" t="s">
        <v>8</v>
      </c>
      <c r="CZ9" s="54">
        <f t="shared" ref="CZ9:CZ16" si="166">(((H9+L9+Q9+W9+AC9+AI9+AO9+AU9+BA9+BG9+BM9+BS9+BY9+CE9+CK9+CQ9+CW9)/G9)/$J$17)/I9</f>
        <v>0.8087319603381975</v>
      </c>
      <c r="DA9" s="53">
        <f t="shared" ref="DA9:DA16" si="167">CY$17-CZ9</f>
        <v>2.7266171714983578E-2</v>
      </c>
      <c r="DB9" s="55">
        <f t="shared" ref="DB9:DB16" si="168">IF(DA9&gt;0,$G9*$I9*(($H$17+$L$17+$Q$17+$W$17+$AC$17+$AI$17+$AO$17+$AU$17+$BA$17+$BG$17+$BM$17+$BS$17+$BY$17+$CE$17+$CK$17+$CQ$17+$CW$17)/$G$17)*DA9,0)</f>
        <v>899102.73387826874</v>
      </c>
      <c r="DC9" s="131">
        <f t="shared" ref="DC9:DC16" si="169">IF((CX$17-DB$17)&gt;0,DB9,CX$17*DB9/DB$17)</f>
        <v>0</v>
      </c>
      <c r="DD9" s="77" t="s">
        <v>8</v>
      </c>
      <c r="DE9" s="50" t="s">
        <v>8</v>
      </c>
      <c r="DF9" s="54">
        <f t="shared" ref="DF9:DF16" si="170">(((H9+L9+Q9+W9+AC9+AI9+AO9+AU9+BA9+BG9+BM9+BS9+BY9+CE9+CK9+CQ9+CW9+DC9)/G9)/$J$17)/I9</f>
        <v>0.8087319603381975</v>
      </c>
      <c r="DG9" s="53">
        <f t="shared" ref="DG9:DG16" si="171">DE$17-DF9</f>
        <v>2.7266171714983578E-2</v>
      </c>
      <c r="DH9" s="55">
        <f t="shared" ref="DH9:DH16" si="172">IF(DG9&gt;0,$G9*$I9*(($H$17+$L$17+$Q$17+$W$17+$AC$17+$AI$17+$AO$17+$AU$17+$BA$17+$BG$17+$BM$17+$BS$17+$BY$17+$CE$17+$CK$17+$CQ$17+$CW$17+$DC$17)/$G$17)*DG9,0)</f>
        <v>899102.73387826874</v>
      </c>
      <c r="DI9" s="131">
        <f t="shared" ref="DI9:DI16" si="173">IF((DD$17-DH$17)&gt;0,DH9,DD$17*DH9/DH$17)</f>
        <v>0</v>
      </c>
      <c r="DJ9" s="77" t="s">
        <v>8</v>
      </c>
      <c r="DK9" s="50" t="s">
        <v>8</v>
      </c>
      <c r="DL9" s="54">
        <f t="shared" ref="DL9:DL16" si="174">(((H9+L9+Q9+W9+AC9+AI9+AO9+AU9+BA9+BG9+BM9+BS9+BY9+CE9+CK9+CQ9+CW9+DC9+DI9)/G9)/$J$17)/I9</f>
        <v>0.8087319603381975</v>
      </c>
      <c r="DM9" s="53">
        <f t="shared" ref="DM9:DM16" si="175">DK$17-DL9</f>
        <v>2.7266171714983578E-2</v>
      </c>
      <c r="DN9" s="55">
        <f t="shared" ref="DN9:DN16" si="176">IF(DM9&gt;0,$G9*$I9*(($H$17+$L$17+$Q$17+$W$17+$AC$17+$AI$17+$AO$17+$AU$17+$BA$17+$BG$17+$BM$17+$BS$17+$BY$17+$CE$17+$CK$17+$CQ$17+$CW$17+$DC$17+$DI$17)/$G$17)*DM9,0)</f>
        <v>899102.73387826874</v>
      </c>
      <c r="DO9" s="131">
        <f t="shared" ref="DO9:DO16" si="177">IF((DJ$17-DN$17)&gt;0,DN9,DJ$17*DN9/DN$17)</f>
        <v>0</v>
      </c>
      <c r="DP9" s="77" t="s">
        <v>8</v>
      </c>
      <c r="DQ9" s="50" t="s">
        <v>8</v>
      </c>
      <c r="DR9" s="54">
        <f t="shared" ref="DR9:DR16" si="178">(((H9+L9+Q9+W9+AC9+AI9+AO9+AU9+BA9+BG9+BM9+BS9+BY9+CE9+CK9+CQ9+CW9+DC9+DI9+DO9)/G9)/$J$17)/I9</f>
        <v>0.8087319603381975</v>
      </c>
      <c r="DS9" s="53">
        <f t="shared" ref="DS9:DS16" si="179">DQ$17-DR9</f>
        <v>2.7266171714983578E-2</v>
      </c>
      <c r="DT9" s="55">
        <f t="shared" ref="DT9:DT16" si="180">IF(DS9&gt;0,$G9*$I9*(($H$17+$L$17+$Q$17+$W$17+$AC$17+$AI$17+$AO$17+$AU$17+$BA$17+$BG$17+$BM$17+$BS$17+$BY$17+$CE$17+$CK$17+$CQ$17+$CW$17+$DC$17+$DI$17+$DO$17)/$G$17)*DS9,0)</f>
        <v>899102.73387826874</v>
      </c>
      <c r="DU9" s="131">
        <f t="shared" ref="DU9:DU16" si="181">IF((DP$17-DT$17)&gt;0,DT9,DP$17*DT9/DT$17)</f>
        <v>0</v>
      </c>
      <c r="DV9" s="161" t="s">
        <v>8</v>
      </c>
      <c r="DW9" s="150" t="s">
        <v>8</v>
      </c>
      <c r="DX9" s="165">
        <f t="shared" ref="DX9:DX16" si="182">((($H9+$L9+$Q9+$W9+$AC9+$AI9+$AO9+$AU9+$BA9+$BG9+$BM9+$BS9+$BY9+$CE9+$CK9+$CQ9+$CW9+$DC9+$DI9+$DO9+$DU9)/$G9)/$J$17)/$I9</f>
        <v>0.8087319603381975</v>
      </c>
      <c r="DY9" s="151">
        <f t="shared" ref="DY9:DY16" si="183">DW$17-DX9</f>
        <v>2.7266171714983578E-2</v>
      </c>
      <c r="DZ9" s="34">
        <f t="shared" ref="DZ9:DZ16" si="184">IF(DY9&gt;0,$G9*$I9*(($H$17+$L$17+$Q$17+$W$17+$AC$17+$AI$17+$AO$17+$AU$17+$BA$17+$BG$17+$BM$17+$BS$17+$BY$17+$CE$17+$CK$17+$CQ$17+$CW$17+$DC$17+$DI$17+$DO$17+$DU$17)/$G$17)*DY9,0)</f>
        <v>899102.73387826874</v>
      </c>
      <c r="EA9" s="152">
        <f t="shared" ref="EA9:EA16" si="185">IF((DV$17-DZ$17)&gt;0,DZ9,DV$17*DZ9/DZ$17)</f>
        <v>0</v>
      </c>
      <c r="EB9" s="161" t="s">
        <v>8</v>
      </c>
      <c r="EC9" s="150" t="s">
        <v>8</v>
      </c>
      <c r="ED9" s="165">
        <f t="shared" ref="ED9:ED16" si="186">((($H9+$L9+$Q9+$W9+$AC9+$AI9+$AO9+$AU9+$BA9+$BG9+$BM9+$BS9+$BY9+$CE9+$CK9+$CQ9+$CW9+$DC9+$DI9+$DO9+$DU9+$EA9)/$G9)/$J$17)/$I9</f>
        <v>0.8087319603381975</v>
      </c>
      <c r="EE9" s="151">
        <f t="shared" ref="EE9:EE16" si="187">EC$17-ED9</f>
        <v>2.7266171714983578E-2</v>
      </c>
      <c r="EF9" s="34">
        <f t="shared" ref="EF9:EF16" si="188">IF(EE9&gt;0,$G9*$I9*(($H$17+$L$17+$Q$17+$W$17+$AC$17+$AI$17+$AO$17+$AU$17+$BA$17+$BG$17+$BM$17+$BS$17+$BY$17+$CE$17+$CK$17+$CQ$17+$CW$17+$DC$17+$DI$17+$DO$17+$DU$17+$EA$17)/$G$17)*EE9,0)</f>
        <v>899102.73387826874</v>
      </c>
      <c r="EG9" s="152">
        <f t="shared" ref="EG9:EG16" si="189">IF((EB$17-EF$17)&gt;0,EF9,EB$17*EF9/EF$17)</f>
        <v>0</v>
      </c>
      <c r="EH9" s="161" t="s">
        <v>8</v>
      </c>
      <c r="EI9" s="150" t="s">
        <v>8</v>
      </c>
      <c r="EJ9" s="165">
        <f t="shared" ref="EJ9:EJ16" si="190">((($H9+$L9+$Q9+$W9+$AC9+$AI9+$AO9+$AU9+$BA9+$BG9+$BM9+$BS9+$BY9+$CE9+$CK9+$CQ9+$CW9+$DC9+$DI9+$DO9+$DU9+$EA9+$EG9)/$G9)/$J$17)/$I9</f>
        <v>0.8087319603381975</v>
      </c>
      <c r="EK9" s="151">
        <f t="shared" ref="EK9:EK16" si="191">EI$17-EJ9</f>
        <v>2.7266171714983578E-2</v>
      </c>
      <c r="EL9" s="34">
        <f t="shared" ref="EL9:EL16" si="192">IF(EK9&gt;0,$G9*$I9*(($H$17+$L$17+$Q$17+$W$17+$AC$17+$AI$17+$AO$17+$AU$17+$BA$17+$BG$17+$BM$17+$BS$17+$BY$17+$CE$17+$CK$17+$CQ$17+$CW$17+$DC$17+$DI$17+$DO$17+$DU$17+$EA$17+$EG$17)/$G$17)*EK9,0)</f>
        <v>899102.73387826874</v>
      </c>
      <c r="EM9" s="152">
        <f t="shared" ref="EM9:EM16" si="193">IF((EH$17-EL$17)&gt;0,EL9,EH$17*EL9/EL$17)</f>
        <v>0</v>
      </c>
      <c r="EN9" s="77" t="s">
        <v>8</v>
      </c>
      <c r="EO9" s="50" t="s">
        <v>8</v>
      </c>
      <c r="EP9" s="166">
        <f t="shared" ref="EP9:EP16" si="194">((($H9+$L9+$Q9+$W9+$AC9+$AI9+$AO9+$AU9+$BA9+$BG9+$BM9+$BS9+$BY9+$CE9+$CK9+$CQ9+$CW9+$DC9+$DI9+$DO9+$DU9+$EA9+$EG9+$EM9)/$G9)/$J$17)/$I9</f>
        <v>0.8087319603381975</v>
      </c>
      <c r="EQ9" s="53">
        <f t="shared" ref="EQ9:EQ16" si="195">EO$17-EP9</f>
        <v>2.7266171714983578E-2</v>
      </c>
      <c r="ER9" s="55">
        <f t="shared" ref="ER9:ER16" si="196">IF(EQ9&gt;0,$G9*$I9*(($H$17+$L$17+$Q$17+$W$17+$AC$17+$AI$17+$AO$17+$AU$17+$BA$17+$BG$17+$BM$17+$BS$17+$BY$17+$CE$17+$CK$17+$CQ$17+$CW$17+$DC$17+$DI$17+$DO$17+$DU$17+$EA$17+$EG$17+$EM$17)/$G$17)*EQ9,0)</f>
        <v>899102.73387826874</v>
      </c>
      <c r="ES9" s="81">
        <f t="shared" ref="ES9:ES16" si="197">IF((EN$17-ER$17)&gt;0,ER9,EN$17*ER9/ER$17)</f>
        <v>0</v>
      </c>
      <c r="ET9" s="161" t="s">
        <v>8</v>
      </c>
      <c r="EU9" s="150" t="s">
        <v>8</v>
      </c>
      <c r="EV9" s="165">
        <f t="shared" ref="EV9:EV16" si="198">((($H9+$L9+$Q9+$W9+$AC9+$AI9+$AO9+$AU9+$BA9+$BG9+$BM9+$BS9+$BY9+$CE9+$CK9+$CQ9+$CW9+$DC9+$DI9+$DO9+$DU9+$EA9+$EG9+$EM9+$ES9)/$G9)/$J$17)/$I9</f>
        <v>0.8087319603381975</v>
      </c>
      <c r="EW9" s="151">
        <f t="shared" ref="EW9:EW16" si="199">EU$17-EV9</f>
        <v>2.7266171714983578E-2</v>
      </c>
      <c r="EX9" s="34">
        <f t="shared" ref="EX9:EX16" si="200">IF(EW9&gt;0,$G9*$I9*(($H$17+$L$17+$Q$17+$W$17+$AC$17+$AI$17+$AO$17+$AU$17+$BA$17+$BG$17+$BM$17+$BS$17+$BY$17+$CE$17+$CK$17+$CQ$17+$CW$17+$DC$17+$DI$17+$DO$17+$DU$17+$EA$17+$EG$17+$EM$17+$ES$17)/$G$17)*EW9,0)</f>
        <v>899102.73387826874</v>
      </c>
      <c r="EY9" s="152">
        <f t="shared" ref="EY9:EY16" si="201">IF((ET$17-EX$17)&gt;0,EX9,ET$17*EX9/EX$17)</f>
        <v>0</v>
      </c>
      <c r="EZ9" s="161" t="s">
        <v>8</v>
      </c>
      <c r="FA9" s="150" t="s">
        <v>8</v>
      </c>
      <c r="FB9" s="165">
        <f t="shared" ref="FB9:FB16" si="202">((($H9+$L9+$Q9+$W9+$AC9+$AI9+$AO9+$AU9+$BA9+$BG9+$BM9+$BS9+$BY9+$CE9+$CK9+$CQ9+$CW9+$DC9+$DI9+$DO9+$DU9+$EA9+$EG9+$EM9+$ES9+$EY9)/$G9)/$J$17)/$I9</f>
        <v>0.8087319603381975</v>
      </c>
      <c r="FC9" s="151">
        <f t="shared" ref="FC9:FC16" si="203">FA$17-FB9</f>
        <v>2.7266171714983578E-2</v>
      </c>
      <c r="FD9" s="34">
        <f t="shared" ref="FD9:FD16" si="204">IF(FC9&gt;0,$G9*$I9*(($H$17+$L$17+$Q$17+$W$17+$AC$17+$AI$17+$AO$17+$AU$17+$BA$17+$BG$17+$BM$17+$BS$17+$BY$17+$CE$17+$CK$17+$CQ$17+$CW$17+$DC$17+$DI$17+$DO$17+$DU$17+$EA$17+$EG$17+$EM$17+$ES$17+$EY$17)/$G$17)*FC9,0)</f>
        <v>899102.73387826874</v>
      </c>
      <c r="FE9" s="152">
        <f t="shared" ref="FE9:FE16" si="205">IF((EZ$17-FD$17)&gt;0,FD9,EZ$17*FD9/FD$17)</f>
        <v>0</v>
      </c>
      <c r="FF9" s="161" t="s">
        <v>8</v>
      </c>
      <c r="FG9" s="150" t="s">
        <v>8</v>
      </c>
      <c r="FH9" s="165">
        <f t="shared" ref="FH9:FH16" si="206">((($H9+$L9+$Q9+$W9+$AC9+$AI9+$AO9+$AU9+$BA9+$BG9+$BM9+$BS9+$BY9+$CE9+$CK9+$CQ9+$CW9+$DC9+$DI9+$DO9+$DU9+$EA9+$EG9+$EM9+$ES9+$EY9+$FE9)/$G9)/$J$17)/$I9</f>
        <v>0.8087319603381975</v>
      </c>
      <c r="FI9" s="151">
        <f t="shared" ref="FI9:FI16" si="207">FG$17-FH9</f>
        <v>2.7266171714983578E-2</v>
      </c>
      <c r="FJ9" s="34">
        <f t="shared" ref="FJ9:FJ16" si="208">IF(FI9&gt;0,$G9*$I9*(($H$17+$L$17+$Q$17+$W$17+$AC$17+$AI$17+$AO$17+$AU$17+$BA$17+$BG$17+$BM$17+$BS$17+$BY$17+$CE$17+$CK$17+$CQ$17+$CW$17+$DC$17+$DI$17+$DO$17+$DU$17+$EA$17+$EG$17+$EM$17+$ES$17+$EY$17+$FE$17)/$G$17)*FI9,0)</f>
        <v>899102.73387826874</v>
      </c>
      <c r="FK9" s="152">
        <f t="shared" ref="FK9:FK16" si="209">IF((FF$17-FJ$17)&gt;0,FJ9,FF$17*FJ9/FJ$17)</f>
        <v>0</v>
      </c>
      <c r="FL9" s="161" t="s">
        <v>8</v>
      </c>
      <c r="FM9" s="150" t="s">
        <v>8</v>
      </c>
      <c r="FN9" s="165">
        <f t="shared" ref="FN9:FN16" si="210">((($H9+$L9+$Q9+$W9+$AC9+$AI9+$AO9+$AU9+$BA9+$BG9+$BM9+$BS9+$BY9+$CE9+$CK9+$CQ9+$CW9+$DC9+$DI9+$DO9+$DU9+$EA9+$EG9+$EM9+$ES9+$EY9+$FE9+$FK9)/$G9)/$J$17)/$I9</f>
        <v>0.8087319603381975</v>
      </c>
      <c r="FO9" s="151">
        <f t="shared" ref="FO9:FO16" si="211">FM$17-FN9</f>
        <v>2.7266171714983578E-2</v>
      </c>
      <c r="FP9" s="34">
        <f t="shared" ref="FP9:FP16" si="212">IF(FO9&gt;0,$G9*$I9*(($H$17+$L$17+$Q$17+$W$17+$AC$17+$AI$17+$AO$17+$AU$17+$BA$17+$BG$17+$BM$17+$BS$17+$BY$17+$CE$17+$CK$17+$CQ$17+$CW$17+$DC$17+$DI$17+$DO$17+$DU$17+$EA$17+$EG$17+$EM$17+$ES$17+$EY$17+$FE$17+$FK$17)/$G$17)*FO9,0)</f>
        <v>899102.73387826874</v>
      </c>
      <c r="FQ9" s="152">
        <f t="shared" ref="FQ9:FQ16" si="213">IF((FL$17-FP$17)&gt;0,FP9,FL$17*FP9/FP$17)</f>
        <v>0</v>
      </c>
      <c r="FR9" s="161" t="s">
        <v>8</v>
      </c>
      <c r="FS9" s="150" t="s">
        <v>8</v>
      </c>
      <c r="FT9" s="165">
        <f t="shared" ref="FT9:FT16" si="214">((($H9+$L9+$Q9+$W9+$AC9+$AI9+$AO9+$AU9+$BA9+$BG9+$BM9+$BS9+$BY9+$CE9+$CK9+$CQ9+$CW9+$DC9+$DI9+$DO9+$DU9+$EA9+$EG9+$EM9+$ES9+$EY9+$FE9+$FK9+$FQ9)/$G9)/$J$17)/$I9</f>
        <v>0.8087319603381975</v>
      </c>
      <c r="FU9" s="151">
        <f t="shared" ref="FU9:FU16" si="215">FS$17-FT9</f>
        <v>2.7266171714983578E-2</v>
      </c>
      <c r="FV9" s="34">
        <f t="shared" ref="FV9:FV16" si="216">IF(FU9&gt;0,$G9*$I9*(($H$17+$L$17+$Q$17+$W$17+$AC$17+$AI$17+$AO$17+$AU$17+$BA$17+$BG$17+$BM$17+$BS$17+$BY$17+$CE$17+$CK$17+$CQ$17+$CW$17+$DC$17+$DI$17+$DO$17+$DU$17+$EA$17+$EG$17+$EM$17+$ES$17+$EY$17+$FE$17+$FK$17+$FQ$17)/$G$17)*FU9,0)</f>
        <v>899102.73387826874</v>
      </c>
      <c r="FW9" s="152">
        <f t="shared" ref="FW9:FW16" si="217">IF((FR$17-FV$17)&gt;0,FV9,FR$17*FV9/FV$17)</f>
        <v>0</v>
      </c>
      <c r="FX9" s="161" t="s">
        <v>8</v>
      </c>
      <c r="FY9" s="150" t="s">
        <v>8</v>
      </c>
      <c r="FZ9" s="165">
        <f t="shared" ref="FZ9:FZ16" si="218">((($H9+$L9+$Q9+$W9+$AC9+$AI9+$AO9+$AU9+$BA9+$BG9+$BM9+$BS9+$BY9+$CE9+$CK9+$CQ9+$CW9+$DC9+$DI9+$DO9+$DU9+$EA9+$EG9+$EM9+$ES9+$EY9+$FE9+$FK9+$FQ9+$FW9)/$G9)/$J$17)/$I9</f>
        <v>0.8087319603381975</v>
      </c>
      <c r="GA9" s="151">
        <f t="shared" ref="GA9:GA16" si="219">FY$17-FZ9</f>
        <v>2.7266171714983578E-2</v>
      </c>
      <c r="GB9" s="34">
        <f t="shared" ref="GB9:GB16" si="220">IF(GA9&gt;0,$G9*$I9*(($H$17+$L$17+$Q$17+$W$17+$AC$17+$AI$17+$AO$17+$AU$17+$BA$17+$BG$17+$BM$17+$BS$17+$BY$17+$CE$17+$CK$17+$CQ$17+$CW$17+$DC$17+$DI$17+$DO$17+$DU$17+$EA$17+$EG$17+$EM$17+$ES$17+$EY$17+$FE$17+$FK$17+$FQ$17+$FW$17)/$G$17)*GA9,0)</f>
        <v>899102.73387826874</v>
      </c>
      <c r="GC9" s="152">
        <f t="shared" ref="GC9:GC16" si="221">IF((FX$17-GB$17)&gt;0,GB9,FX$17*GB9/GB$17)</f>
        <v>0</v>
      </c>
      <c r="GD9" s="161" t="s">
        <v>8</v>
      </c>
      <c r="GE9" s="150" t="s">
        <v>8</v>
      </c>
      <c r="GF9" s="165">
        <f t="shared" ref="GF9:GF16" si="222">((($H9+$L9+$Q9+$W9+$AC9+$AI9+$AO9+$AU9+$BA9+$BG9+$BM9+$BS9+$BY9+$CE9+$CK9+$CQ9+$CW9+$DC9+$DI9+$DO9+$DU9+$EA9+$EG9+$EM9+$ES9+$EY9+$FE9+$FK9+$FQ9+$FW9+$GC9)/$G9)/$J$17)/$I9</f>
        <v>0.8087319603381975</v>
      </c>
      <c r="GG9" s="151">
        <f t="shared" ref="GG9:GG16" si="223">GE$17-GF9</f>
        <v>2.7266171714983578E-2</v>
      </c>
      <c r="GH9" s="34">
        <f t="shared" ref="GH9:GH16" si="224">IF(GG9&gt;0,$G9*$I9*(($H$17+$L$17+$Q$17+$W$17+$AC$17+$AI$17+$AO$17+$AU$17+$BA$17+$BG$17+$BM$17+$BS$17+$BY$17+$CE$17+$CK$17+$CQ$17+$CW$17+$DC$17+$DI$17+$DO$17+$DU$17+$EA$17+$EG$17+$EM$17+$ES$17+$EY$17+$FE$17+$FK$17+$FQ$17+$FW$17+$GC$17)/$G$17)*GG9,0)</f>
        <v>899102.73387826874</v>
      </c>
      <c r="GI9" s="169">
        <f t="shared" ref="GI9:GI16" si="225">IF((GD$17-GH$17)&gt;0,GH9,GD$17*GH9/GH$17)</f>
        <v>0</v>
      </c>
      <c r="GJ9" s="167">
        <f>Q9+W9+AC9+AI9+AO9+AU9+BA9+BG9+BM9+BS9+BY9+CE9+CK9+CQ9+CW9+DC9+DI9+DO9+DU9+EA9+EG9+EM9+ES9+EY9+FE9+FK9+FQ9+FW9+GC9+GI9</f>
        <v>2529741.8053438948</v>
      </c>
      <c r="GK9" s="153">
        <f t="shared" ref="GK9:GK17" si="226">L9+GJ9</f>
        <v>3985653.6666468773</v>
      </c>
      <c r="GL9" s="154">
        <f t="shared" ref="GL9:GL16" si="227">K9+GK9/($H$17/$G$17)/G9/I9</f>
        <v>0.8087319603381975</v>
      </c>
      <c r="GN9" s="195"/>
    </row>
    <row r="10" spans="1:196" s="25" customFormat="1" ht="31.2" x14ac:dyDescent="0.3">
      <c r="A10" s="193" t="s">
        <v>182</v>
      </c>
      <c r="B10" s="144" t="s">
        <v>8</v>
      </c>
      <c r="C10" s="144" t="s">
        <v>8</v>
      </c>
      <c r="D10" s="144" t="s">
        <v>8</v>
      </c>
      <c r="E10" s="144" t="s">
        <v>8</v>
      </c>
      <c r="F10" s="144" t="s">
        <v>8</v>
      </c>
      <c r="G10" s="110">
        <f>'Исходные данные'!C12</f>
        <v>2200</v>
      </c>
      <c r="H10" s="31">
        <f>'Исходные данные'!D12</f>
        <v>8823345</v>
      </c>
      <c r="I10" s="32">
        <f>'Расчет КРП'!F8</f>
        <v>2.6337394613923353</v>
      </c>
      <c r="J10" s="117" t="s">
        <v>8</v>
      </c>
      <c r="K10" s="121">
        <f t="shared" si="104"/>
        <v>1.0992498945594933</v>
      </c>
      <c r="L10" s="79">
        <f t="shared" si="105"/>
        <v>333785.54552590265</v>
      </c>
      <c r="M10" s="75">
        <f t="shared" si="106"/>
        <v>1.140834319256117</v>
      </c>
      <c r="N10" s="30" t="s">
        <v>8</v>
      </c>
      <c r="O10" s="33">
        <f t="shared" si="107"/>
        <v>-0.65018551616726072</v>
      </c>
      <c r="P10" s="34">
        <f t="shared" si="108"/>
        <v>0</v>
      </c>
      <c r="Q10" s="82">
        <f t="shared" si="109"/>
        <v>0</v>
      </c>
      <c r="R10" s="148" t="s">
        <v>8</v>
      </c>
      <c r="S10" s="30" t="s">
        <v>8</v>
      </c>
      <c r="T10" s="35">
        <f t="shared" si="110"/>
        <v>1.140834319256117</v>
      </c>
      <c r="U10" s="33">
        <f t="shared" si="111"/>
        <v>-0.5411049304909693</v>
      </c>
      <c r="V10" s="55">
        <f t="shared" si="112"/>
        <v>0</v>
      </c>
      <c r="W10" s="82">
        <f t="shared" si="113"/>
        <v>0</v>
      </c>
      <c r="X10" s="78" t="s">
        <v>8</v>
      </c>
      <c r="Y10" s="30" t="s">
        <v>8</v>
      </c>
      <c r="Z10" s="35">
        <f t="shared" si="114"/>
        <v>1.140834319256117</v>
      </c>
      <c r="AA10" s="33">
        <f t="shared" si="115"/>
        <v>-0.46455863867412672</v>
      </c>
      <c r="AB10" s="55">
        <f t="shared" si="116"/>
        <v>0</v>
      </c>
      <c r="AC10" s="82">
        <f t="shared" si="117"/>
        <v>0</v>
      </c>
      <c r="AD10" s="78" t="s">
        <v>8</v>
      </c>
      <c r="AE10" s="30" t="s">
        <v>8</v>
      </c>
      <c r="AF10" s="35">
        <f t="shared" si="118"/>
        <v>1.140834319256117</v>
      </c>
      <c r="AG10" s="33">
        <f t="shared" si="119"/>
        <v>-0.40725434325252385</v>
      </c>
      <c r="AH10" s="55">
        <f t="shared" si="120"/>
        <v>0</v>
      </c>
      <c r="AI10" s="82">
        <f t="shared" si="121"/>
        <v>0</v>
      </c>
      <c r="AJ10" s="78" t="s">
        <v>8</v>
      </c>
      <c r="AK10" s="30" t="s">
        <v>8</v>
      </c>
      <c r="AL10" s="35">
        <f t="shared" si="122"/>
        <v>1.140834319256117</v>
      </c>
      <c r="AM10" s="33">
        <f t="shared" si="123"/>
        <v>-0.35686775487414379</v>
      </c>
      <c r="AN10" s="55">
        <f t="shared" si="124"/>
        <v>0</v>
      </c>
      <c r="AO10" s="82">
        <f t="shared" si="125"/>
        <v>0</v>
      </c>
      <c r="AP10" s="78" t="s">
        <v>8</v>
      </c>
      <c r="AQ10" s="30" t="s">
        <v>8</v>
      </c>
      <c r="AR10" s="35">
        <f t="shared" si="126"/>
        <v>1.140834319256117</v>
      </c>
      <c r="AS10" s="33">
        <f t="shared" si="127"/>
        <v>-0.31293217224203673</v>
      </c>
      <c r="AT10" s="55">
        <f t="shared" si="128"/>
        <v>0</v>
      </c>
      <c r="AU10" s="82">
        <f t="shared" si="129"/>
        <v>0</v>
      </c>
      <c r="AV10" s="78" t="s">
        <v>8</v>
      </c>
      <c r="AW10" s="30" t="s">
        <v>8</v>
      </c>
      <c r="AX10" s="35">
        <f t="shared" si="130"/>
        <v>1.140834319256117</v>
      </c>
      <c r="AY10" s="33">
        <f t="shared" si="131"/>
        <v>-0.30483618720293593</v>
      </c>
      <c r="AZ10" s="55">
        <f t="shared" si="132"/>
        <v>0</v>
      </c>
      <c r="BA10" s="82">
        <f t="shared" si="133"/>
        <v>0</v>
      </c>
      <c r="BB10" s="78" t="s">
        <v>8</v>
      </c>
      <c r="BC10" s="30" t="s">
        <v>8</v>
      </c>
      <c r="BD10" s="35">
        <f t="shared" si="134"/>
        <v>1.140834319256117</v>
      </c>
      <c r="BE10" s="33">
        <f t="shared" si="135"/>
        <v>-0.30483618720293593</v>
      </c>
      <c r="BF10" s="55">
        <f t="shared" si="136"/>
        <v>0</v>
      </c>
      <c r="BG10" s="82">
        <f t="shared" si="137"/>
        <v>0</v>
      </c>
      <c r="BH10" s="78" t="s">
        <v>8</v>
      </c>
      <c r="BI10" s="30" t="s">
        <v>8</v>
      </c>
      <c r="BJ10" s="35">
        <f t="shared" si="138"/>
        <v>1.140834319256117</v>
      </c>
      <c r="BK10" s="33">
        <f t="shared" si="139"/>
        <v>-0.30483618720293593</v>
      </c>
      <c r="BL10" s="55">
        <f t="shared" si="140"/>
        <v>0</v>
      </c>
      <c r="BM10" s="82">
        <f t="shared" si="141"/>
        <v>0</v>
      </c>
      <c r="BN10" s="78" t="s">
        <v>8</v>
      </c>
      <c r="BO10" s="30" t="s">
        <v>8</v>
      </c>
      <c r="BP10" s="35">
        <f t="shared" si="142"/>
        <v>1.140834319256117</v>
      </c>
      <c r="BQ10" s="33">
        <f t="shared" si="143"/>
        <v>-0.30483618720293593</v>
      </c>
      <c r="BR10" s="55">
        <f t="shared" si="144"/>
        <v>0</v>
      </c>
      <c r="BS10" s="132">
        <f t="shared" si="145"/>
        <v>0</v>
      </c>
      <c r="BT10" s="78" t="s">
        <v>8</v>
      </c>
      <c r="BU10" s="30" t="s">
        <v>8</v>
      </c>
      <c r="BV10" s="35">
        <f t="shared" si="146"/>
        <v>1.140834319256117</v>
      </c>
      <c r="BW10" s="33">
        <f t="shared" si="147"/>
        <v>-0.30483618720293593</v>
      </c>
      <c r="BX10" s="55">
        <f t="shared" si="148"/>
        <v>0</v>
      </c>
      <c r="BY10" s="132">
        <f t="shared" si="149"/>
        <v>0</v>
      </c>
      <c r="BZ10" s="78" t="s">
        <v>8</v>
      </c>
      <c r="CA10" s="30" t="s">
        <v>8</v>
      </c>
      <c r="CB10" s="35">
        <f t="shared" si="150"/>
        <v>1.140834319256117</v>
      </c>
      <c r="CC10" s="33">
        <f t="shared" si="151"/>
        <v>-0.30483618720293593</v>
      </c>
      <c r="CD10" s="55">
        <f t="shared" si="152"/>
        <v>0</v>
      </c>
      <c r="CE10" s="132">
        <f t="shared" si="153"/>
        <v>0</v>
      </c>
      <c r="CF10" s="78" t="s">
        <v>8</v>
      </c>
      <c r="CG10" s="30" t="s">
        <v>8</v>
      </c>
      <c r="CH10" s="35">
        <f t="shared" si="154"/>
        <v>1.140834319256117</v>
      </c>
      <c r="CI10" s="33">
        <f t="shared" si="155"/>
        <v>-0.30483618720293593</v>
      </c>
      <c r="CJ10" s="55">
        <f t="shared" si="156"/>
        <v>0</v>
      </c>
      <c r="CK10" s="132">
        <f t="shared" si="157"/>
        <v>0</v>
      </c>
      <c r="CL10" s="78" t="s">
        <v>8</v>
      </c>
      <c r="CM10" s="30" t="s">
        <v>8</v>
      </c>
      <c r="CN10" s="35">
        <f t="shared" si="158"/>
        <v>1.140834319256117</v>
      </c>
      <c r="CO10" s="33">
        <f t="shared" si="159"/>
        <v>-0.30483618720293593</v>
      </c>
      <c r="CP10" s="55">
        <f t="shared" si="160"/>
        <v>0</v>
      </c>
      <c r="CQ10" s="132">
        <f t="shared" si="161"/>
        <v>0</v>
      </c>
      <c r="CR10" s="78" t="s">
        <v>8</v>
      </c>
      <c r="CS10" s="30" t="s">
        <v>8</v>
      </c>
      <c r="CT10" s="35">
        <f t="shared" si="162"/>
        <v>1.140834319256117</v>
      </c>
      <c r="CU10" s="33">
        <f t="shared" si="163"/>
        <v>-0.30483618720293593</v>
      </c>
      <c r="CV10" s="55">
        <f t="shared" si="164"/>
        <v>0</v>
      </c>
      <c r="CW10" s="132">
        <f t="shared" si="165"/>
        <v>0</v>
      </c>
      <c r="CX10" s="78" t="s">
        <v>8</v>
      </c>
      <c r="CY10" s="30" t="s">
        <v>8</v>
      </c>
      <c r="CZ10" s="35">
        <f t="shared" si="166"/>
        <v>1.140834319256117</v>
      </c>
      <c r="DA10" s="33">
        <f t="shared" si="167"/>
        <v>-0.30483618720293593</v>
      </c>
      <c r="DB10" s="55">
        <f t="shared" si="168"/>
        <v>0</v>
      </c>
      <c r="DC10" s="132">
        <f t="shared" si="169"/>
        <v>0</v>
      </c>
      <c r="DD10" s="78" t="s">
        <v>8</v>
      </c>
      <c r="DE10" s="30" t="s">
        <v>8</v>
      </c>
      <c r="DF10" s="35">
        <f t="shared" si="170"/>
        <v>1.140834319256117</v>
      </c>
      <c r="DG10" s="33">
        <f t="shared" si="171"/>
        <v>-0.30483618720293593</v>
      </c>
      <c r="DH10" s="55">
        <f t="shared" si="172"/>
        <v>0</v>
      </c>
      <c r="DI10" s="132">
        <f t="shared" si="173"/>
        <v>0</v>
      </c>
      <c r="DJ10" s="78" t="s">
        <v>8</v>
      </c>
      <c r="DK10" s="30" t="s">
        <v>8</v>
      </c>
      <c r="DL10" s="35">
        <f t="shared" si="174"/>
        <v>1.140834319256117</v>
      </c>
      <c r="DM10" s="33">
        <f t="shared" si="175"/>
        <v>-0.30483618720293593</v>
      </c>
      <c r="DN10" s="55">
        <f t="shared" si="176"/>
        <v>0</v>
      </c>
      <c r="DO10" s="132">
        <f t="shared" si="177"/>
        <v>0</v>
      </c>
      <c r="DP10" s="78" t="s">
        <v>8</v>
      </c>
      <c r="DQ10" s="30" t="s">
        <v>8</v>
      </c>
      <c r="DR10" s="35">
        <f t="shared" si="178"/>
        <v>1.140834319256117</v>
      </c>
      <c r="DS10" s="33">
        <f t="shared" si="179"/>
        <v>-0.30483618720293593</v>
      </c>
      <c r="DT10" s="55">
        <f t="shared" si="180"/>
        <v>0</v>
      </c>
      <c r="DU10" s="132">
        <f t="shared" si="181"/>
        <v>0</v>
      </c>
      <c r="DV10" s="78" t="s">
        <v>8</v>
      </c>
      <c r="DW10" s="30" t="s">
        <v>8</v>
      </c>
      <c r="DX10" s="35">
        <f t="shared" si="182"/>
        <v>1.140834319256117</v>
      </c>
      <c r="DY10" s="33">
        <f t="shared" si="183"/>
        <v>-0.30483618720293593</v>
      </c>
      <c r="DZ10" s="34">
        <f t="shared" si="184"/>
        <v>0</v>
      </c>
      <c r="EA10" s="82">
        <f t="shared" si="185"/>
        <v>0</v>
      </c>
      <c r="EB10" s="78" t="s">
        <v>8</v>
      </c>
      <c r="EC10" s="30" t="s">
        <v>8</v>
      </c>
      <c r="ED10" s="35">
        <f t="shared" si="186"/>
        <v>1.140834319256117</v>
      </c>
      <c r="EE10" s="33">
        <f t="shared" si="187"/>
        <v>-0.30483618720293593</v>
      </c>
      <c r="EF10" s="34">
        <f t="shared" si="188"/>
        <v>0</v>
      </c>
      <c r="EG10" s="82">
        <f t="shared" si="189"/>
        <v>0</v>
      </c>
      <c r="EH10" s="78" t="s">
        <v>8</v>
      </c>
      <c r="EI10" s="30" t="s">
        <v>8</v>
      </c>
      <c r="EJ10" s="35">
        <f t="shared" si="190"/>
        <v>1.140834319256117</v>
      </c>
      <c r="EK10" s="33">
        <f t="shared" si="191"/>
        <v>-0.30483618720293593</v>
      </c>
      <c r="EL10" s="34">
        <f t="shared" si="192"/>
        <v>0</v>
      </c>
      <c r="EM10" s="82">
        <f t="shared" si="193"/>
        <v>0</v>
      </c>
      <c r="EN10" s="78" t="s">
        <v>8</v>
      </c>
      <c r="EO10" s="30" t="s">
        <v>8</v>
      </c>
      <c r="EP10" s="35">
        <f t="shared" si="194"/>
        <v>1.140834319256117</v>
      </c>
      <c r="EQ10" s="33">
        <f t="shared" si="195"/>
        <v>-0.30483618720293593</v>
      </c>
      <c r="ER10" s="34">
        <f t="shared" si="196"/>
        <v>0</v>
      </c>
      <c r="ES10" s="82">
        <f t="shared" si="197"/>
        <v>0</v>
      </c>
      <c r="ET10" s="78" t="s">
        <v>8</v>
      </c>
      <c r="EU10" s="30" t="s">
        <v>8</v>
      </c>
      <c r="EV10" s="35">
        <f t="shared" si="198"/>
        <v>1.140834319256117</v>
      </c>
      <c r="EW10" s="33">
        <f t="shared" si="199"/>
        <v>-0.30483618720293593</v>
      </c>
      <c r="EX10" s="34">
        <f t="shared" si="200"/>
        <v>0</v>
      </c>
      <c r="EY10" s="82">
        <f t="shared" si="201"/>
        <v>0</v>
      </c>
      <c r="EZ10" s="78" t="s">
        <v>8</v>
      </c>
      <c r="FA10" s="30" t="s">
        <v>8</v>
      </c>
      <c r="FB10" s="35">
        <f t="shared" si="202"/>
        <v>1.140834319256117</v>
      </c>
      <c r="FC10" s="33">
        <f t="shared" si="203"/>
        <v>-0.30483618720293593</v>
      </c>
      <c r="FD10" s="34">
        <f t="shared" si="204"/>
        <v>0</v>
      </c>
      <c r="FE10" s="82">
        <f t="shared" si="205"/>
        <v>0</v>
      </c>
      <c r="FF10" s="78" t="s">
        <v>8</v>
      </c>
      <c r="FG10" s="30" t="s">
        <v>8</v>
      </c>
      <c r="FH10" s="35">
        <f t="shared" si="206"/>
        <v>1.140834319256117</v>
      </c>
      <c r="FI10" s="33">
        <f t="shared" si="207"/>
        <v>-0.30483618720293593</v>
      </c>
      <c r="FJ10" s="34">
        <f t="shared" si="208"/>
        <v>0</v>
      </c>
      <c r="FK10" s="82">
        <f t="shared" si="209"/>
        <v>0</v>
      </c>
      <c r="FL10" s="78" t="s">
        <v>8</v>
      </c>
      <c r="FM10" s="30" t="s">
        <v>8</v>
      </c>
      <c r="FN10" s="35">
        <f t="shared" si="210"/>
        <v>1.140834319256117</v>
      </c>
      <c r="FO10" s="33">
        <f t="shared" si="211"/>
        <v>-0.30483618720293593</v>
      </c>
      <c r="FP10" s="34">
        <f t="shared" si="212"/>
        <v>0</v>
      </c>
      <c r="FQ10" s="82">
        <f t="shared" si="213"/>
        <v>0</v>
      </c>
      <c r="FR10" s="78" t="s">
        <v>8</v>
      </c>
      <c r="FS10" s="30" t="s">
        <v>8</v>
      </c>
      <c r="FT10" s="35">
        <f t="shared" si="214"/>
        <v>1.140834319256117</v>
      </c>
      <c r="FU10" s="33">
        <f t="shared" si="215"/>
        <v>-0.30483618720293593</v>
      </c>
      <c r="FV10" s="34">
        <f t="shared" si="216"/>
        <v>0</v>
      </c>
      <c r="FW10" s="82">
        <f t="shared" si="217"/>
        <v>0</v>
      </c>
      <c r="FX10" s="78" t="s">
        <v>8</v>
      </c>
      <c r="FY10" s="30" t="s">
        <v>8</v>
      </c>
      <c r="FZ10" s="35">
        <f t="shared" si="218"/>
        <v>1.140834319256117</v>
      </c>
      <c r="GA10" s="33">
        <f t="shared" si="219"/>
        <v>-0.30483618720293593</v>
      </c>
      <c r="GB10" s="34">
        <f t="shared" si="220"/>
        <v>0</v>
      </c>
      <c r="GC10" s="82">
        <f t="shared" si="221"/>
        <v>0</v>
      </c>
      <c r="GD10" s="78" t="s">
        <v>8</v>
      </c>
      <c r="GE10" s="30" t="s">
        <v>8</v>
      </c>
      <c r="GF10" s="35">
        <f t="shared" si="222"/>
        <v>1.140834319256117</v>
      </c>
      <c r="GG10" s="33">
        <f t="shared" si="223"/>
        <v>-0.30483618720293593</v>
      </c>
      <c r="GH10" s="34">
        <f t="shared" si="224"/>
        <v>0</v>
      </c>
      <c r="GI10" s="132">
        <f t="shared" si="225"/>
        <v>0</v>
      </c>
      <c r="GJ10" s="155">
        <f t="shared" ref="GJ10:GJ16" si="228">Q10+W10+AC10+AI10+AO10+AU10+BA10+BG10+BM10+BS10+BY10+CE10+CK10+CQ10+CW10+DC10+DI10+DO10+DU10+EA10+EG10+EM10+ES10+EY10+FE10+FK10+FQ10+FW10+GC10+GI10</f>
        <v>0</v>
      </c>
      <c r="GK10" s="101">
        <f t="shared" si="226"/>
        <v>333785.54552590265</v>
      </c>
      <c r="GL10" s="88">
        <f t="shared" si="227"/>
        <v>1.140834319256117</v>
      </c>
      <c r="GN10" s="195"/>
    </row>
    <row r="11" spans="1:196" s="25" customFormat="1" x14ac:dyDescent="0.3">
      <c r="A11" s="193" t="s">
        <v>183</v>
      </c>
      <c r="B11" s="144" t="s">
        <v>8</v>
      </c>
      <c r="C11" s="144" t="s">
        <v>8</v>
      </c>
      <c r="D11" s="144" t="s">
        <v>8</v>
      </c>
      <c r="E11" s="144" t="s">
        <v>8</v>
      </c>
      <c r="F11" s="144" t="s">
        <v>8</v>
      </c>
      <c r="G11" s="110">
        <f>'Исходные данные'!C13</f>
        <v>2836</v>
      </c>
      <c r="H11" s="31">
        <f>'Исходные данные'!D13</f>
        <v>3098228</v>
      </c>
      <c r="I11" s="32">
        <f>'Расчет КРП'!F9</f>
        <v>2.0729714645859803</v>
      </c>
      <c r="J11" s="117" t="s">
        <v>8</v>
      </c>
      <c r="K11" s="121">
        <f t="shared" si="104"/>
        <v>0.38042801185037634</v>
      </c>
      <c r="L11" s="79">
        <f t="shared" si="105"/>
        <v>430279.91232339089</v>
      </c>
      <c r="M11" s="75">
        <f t="shared" si="106"/>
        <v>0.43326160950178927</v>
      </c>
      <c r="N11" s="30" t="s">
        <v>8</v>
      </c>
      <c r="O11" s="33">
        <f t="shared" si="107"/>
        <v>5.7387193587067065E-2</v>
      </c>
      <c r="P11" s="34">
        <f t="shared" si="108"/>
        <v>518551.62947720854</v>
      </c>
      <c r="Q11" s="82">
        <f t="shared" si="109"/>
        <v>518551.62947720854</v>
      </c>
      <c r="R11" s="148" t="s">
        <v>8</v>
      </c>
      <c r="S11" s="30" t="s">
        <v>8</v>
      </c>
      <c r="T11" s="35">
        <f t="shared" si="110"/>
        <v>0.49693399431136026</v>
      </c>
      <c r="U11" s="33">
        <f t="shared" si="111"/>
        <v>0.10279539445378744</v>
      </c>
      <c r="V11" s="55">
        <f t="shared" si="112"/>
        <v>1075791.3189303249</v>
      </c>
      <c r="W11" s="82">
        <f t="shared" si="113"/>
        <v>1075791.3189303249</v>
      </c>
      <c r="X11" s="78" t="s">
        <v>8</v>
      </c>
      <c r="Y11" s="30" t="s">
        <v>8</v>
      </c>
      <c r="Z11" s="35">
        <f t="shared" si="114"/>
        <v>0.62902922830529406</v>
      </c>
      <c r="AA11" s="33">
        <f t="shared" si="115"/>
        <v>4.7246452276696216E-2</v>
      </c>
      <c r="AB11" s="55">
        <f t="shared" si="116"/>
        <v>544893.87669208145</v>
      </c>
      <c r="AC11" s="82">
        <f t="shared" si="117"/>
        <v>544893.87669208145</v>
      </c>
      <c r="AD11" s="78" t="s">
        <v>8</v>
      </c>
      <c r="AE11" s="30" t="s">
        <v>8</v>
      </c>
      <c r="AF11" s="35">
        <f t="shared" si="118"/>
        <v>0.69593614870605625</v>
      </c>
      <c r="AG11" s="33">
        <f t="shared" si="119"/>
        <v>3.7643827297536903E-2</v>
      </c>
      <c r="AH11" s="55">
        <f t="shared" si="120"/>
        <v>463844.84765155835</v>
      </c>
      <c r="AI11" s="82">
        <f t="shared" si="121"/>
        <v>463844.84765155835</v>
      </c>
      <c r="AJ11" s="78" t="s">
        <v>8</v>
      </c>
      <c r="AK11" s="30" t="s">
        <v>8</v>
      </c>
      <c r="AL11" s="35">
        <f t="shared" si="122"/>
        <v>0.75289114788594969</v>
      </c>
      <c r="AM11" s="33">
        <f t="shared" si="123"/>
        <v>3.1075416496023522E-2</v>
      </c>
      <c r="AN11" s="55">
        <f t="shared" si="124"/>
        <v>411759.1413671358</v>
      </c>
      <c r="AO11" s="82">
        <f t="shared" si="125"/>
        <v>411759.1413671358</v>
      </c>
      <c r="AP11" s="78" t="s">
        <v>8</v>
      </c>
      <c r="AQ11" s="30" t="s">
        <v>8</v>
      </c>
      <c r="AR11" s="35">
        <f t="shared" si="126"/>
        <v>0.80345060042188887</v>
      </c>
      <c r="AS11" s="33">
        <f t="shared" si="127"/>
        <v>2.4451546592191398E-2</v>
      </c>
      <c r="AT11" s="55">
        <f t="shared" si="128"/>
        <v>341041.20897686813</v>
      </c>
      <c r="AU11" s="82">
        <f t="shared" si="129"/>
        <v>74943.065310070742</v>
      </c>
      <c r="AV11" s="78" t="s">
        <v>8</v>
      </c>
      <c r="AW11" s="30" t="s">
        <v>8</v>
      </c>
      <c r="AX11" s="35">
        <f t="shared" si="130"/>
        <v>0.8126527770654034</v>
      </c>
      <c r="AY11" s="33">
        <f t="shared" si="131"/>
        <v>2.3345354987777678E-2</v>
      </c>
      <c r="AZ11" s="55">
        <f t="shared" si="132"/>
        <v>328946.44225333614</v>
      </c>
      <c r="BA11" s="82">
        <f t="shared" si="133"/>
        <v>0</v>
      </c>
      <c r="BB11" s="78" t="s">
        <v>8</v>
      </c>
      <c r="BC11" s="30" t="s">
        <v>8</v>
      </c>
      <c r="BD11" s="35">
        <f t="shared" si="134"/>
        <v>0.8126527770654034</v>
      </c>
      <c r="BE11" s="33">
        <f t="shared" si="135"/>
        <v>2.3345354987777678E-2</v>
      </c>
      <c r="BF11" s="55">
        <f t="shared" si="136"/>
        <v>328946.44225333614</v>
      </c>
      <c r="BG11" s="82">
        <f t="shared" si="137"/>
        <v>0</v>
      </c>
      <c r="BH11" s="78" t="s">
        <v>8</v>
      </c>
      <c r="BI11" s="30" t="s">
        <v>8</v>
      </c>
      <c r="BJ11" s="35">
        <f t="shared" si="138"/>
        <v>0.8126527770654034</v>
      </c>
      <c r="BK11" s="33">
        <f t="shared" si="139"/>
        <v>2.3345354987777678E-2</v>
      </c>
      <c r="BL11" s="55">
        <f t="shared" si="140"/>
        <v>328946.44225333614</v>
      </c>
      <c r="BM11" s="82">
        <f t="shared" si="141"/>
        <v>0</v>
      </c>
      <c r="BN11" s="78" t="s">
        <v>8</v>
      </c>
      <c r="BO11" s="30" t="s">
        <v>8</v>
      </c>
      <c r="BP11" s="35">
        <f t="shared" si="142"/>
        <v>0.8126527770654034</v>
      </c>
      <c r="BQ11" s="33">
        <f t="shared" si="143"/>
        <v>2.3345354987777678E-2</v>
      </c>
      <c r="BR11" s="55">
        <f t="shared" si="144"/>
        <v>328946.44225333614</v>
      </c>
      <c r="BS11" s="132">
        <f t="shared" si="145"/>
        <v>0</v>
      </c>
      <c r="BT11" s="78" t="s">
        <v>8</v>
      </c>
      <c r="BU11" s="30" t="s">
        <v>8</v>
      </c>
      <c r="BV11" s="35">
        <f t="shared" si="146"/>
        <v>0.8126527770654034</v>
      </c>
      <c r="BW11" s="33">
        <f t="shared" si="147"/>
        <v>2.3345354987777678E-2</v>
      </c>
      <c r="BX11" s="55">
        <f t="shared" si="148"/>
        <v>328946.44225333614</v>
      </c>
      <c r="BY11" s="132">
        <f t="shared" si="149"/>
        <v>0</v>
      </c>
      <c r="BZ11" s="78" t="s">
        <v>8</v>
      </c>
      <c r="CA11" s="30" t="s">
        <v>8</v>
      </c>
      <c r="CB11" s="35">
        <f t="shared" si="150"/>
        <v>0.8126527770654034</v>
      </c>
      <c r="CC11" s="33">
        <f t="shared" si="151"/>
        <v>2.3345354987777678E-2</v>
      </c>
      <c r="CD11" s="55">
        <f t="shared" si="152"/>
        <v>328946.44225333614</v>
      </c>
      <c r="CE11" s="132">
        <f t="shared" si="153"/>
        <v>0</v>
      </c>
      <c r="CF11" s="78" t="s">
        <v>8</v>
      </c>
      <c r="CG11" s="30" t="s">
        <v>8</v>
      </c>
      <c r="CH11" s="35">
        <f t="shared" si="154"/>
        <v>0.8126527770654034</v>
      </c>
      <c r="CI11" s="33">
        <f t="shared" si="155"/>
        <v>2.3345354987777678E-2</v>
      </c>
      <c r="CJ11" s="55">
        <f t="shared" si="156"/>
        <v>328946.44225333614</v>
      </c>
      <c r="CK11" s="132">
        <f t="shared" si="157"/>
        <v>0</v>
      </c>
      <c r="CL11" s="78" t="s">
        <v>8</v>
      </c>
      <c r="CM11" s="30" t="s">
        <v>8</v>
      </c>
      <c r="CN11" s="35">
        <f t="shared" si="158"/>
        <v>0.8126527770654034</v>
      </c>
      <c r="CO11" s="33">
        <f t="shared" si="159"/>
        <v>2.3345354987777678E-2</v>
      </c>
      <c r="CP11" s="55">
        <f t="shared" si="160"/>
        <v>328946.44225333614</v>
      </c>
      <c r="CQ11" s="132">
        <f t="shared" si="161"/>
        <v>0</v>
      </c>
      <c r="CR11" s="78" t="s">
        <v>8</v>
      </c>
      <c r="CS11" s="30" t="s">
        <v>8</v>
      </c>
      <c r="CT11" s="35">
        <f t="shared" si="162"/>
        <v>0.8126527770654034</v>
      </c>
      <c r="CU11" s="33">
        <f t="shared" si="163"/>
        <v>2.3345354987777678E-2</v>
      </c>
      <c r="CV11" s="55">
        <f t="shared" si="164"/>
        <v>328946.44225333614</v>
      </c>
      <c r="CW11" s="132">
        <f t="shared" si="165"/>
        <v>0</v>
      </c>
      <c r="CX11" s="78" t="s">
        <v>8</v>
      </c>
      <c r="CY11" s="30" t="s">
        <v>8</v>
      </c>
      <c r="CZ11" s="35">
        <f t="shared" si="166"/>
        <v>0.8126527770654034</v>
      </c>
      <c r="DA11" s="33">
        <f t="shared" si="167"/>
        <v>2.3345354987777678E-2</v>
      </c>
      <c r="DB11" s="55">
        <f t="shared" si="168"/>
        <v>328946.44225333614</v>
      </c>
      <c r="DC11" s="132">
        <f t="shared" si="169"/>
        <v>0</v>
      </c>
      <c r="DD11" s="78" t="s">
        <v>8</v>
      </c>
      <c r="DE11" s="30" t="s">
        <v>8</v>
      </c>
      <c r="DF11" s="35">
        <f t="shared" si="170"/>
        <v>0.8126527770654034</v>
      </c>
      <c r="DG11" s="33">
        <f t="shared" si="171"/>
        <v>2.3345354987777678E-2</v>
      </c>
      <c r="DH11" s="55">
        <f t="shared" si="172"/>
        <v>328946.44225333614</v>
      </c>
      <c r="DI11" s="132">
        <f t="shared" si="173"/>
        <v>0</v>
      </c>
      <c r="DJ11" s="78" t="s">
        <v>8</v>
      </c>
      <c r="DK11" s="30" t="s">
        <v>8</v>
      </c>
      <c r="DL11" s="35">
        <f t="shared" si="174"/>
        <v>0.8126527770654034</v>
      </c>
      <c r="DM11" s="33">
        <f t="shared" si="175"/>
        <v>2.3345354987777678E-2</v>
      </c>
      <c r="DN11" s="55">
        <f t="shared" si="176"/>
        <v>328946.44225333614</v>
      </c>
      <c r="DO11" s="132">
        <f t="shared" si="177"/>
        <v>0</v>
      </c>
      <c r="DP11" s="78" t="s">
        <v>8</v>
      </c>
      <c r="DQ11" s="30" t="s">
        <v>8</v>
      </c>
      <c r="DR11" s="35">
        <f t="shared" si="178"/>
        <v>0.8126527770654034</v>
      </c>
      <c r="DS11" s="33">
        <f t="shared" si="179"/>
        <v>2.3345354987777678E-2</v>
      </c>
      <c r="DT11" s="55">
        <f t="shared" si="180"/>
        <v>328946.44225333614</v>
      </c>
      <c r="DU11" s="132">
        <f t="shared" si="181"/>
        <v>0</v>
      </c>
      <c r="DV11" s="78" t="s">
        <v>8</v>
      </c>
      <c r="DW11" s="30" t="s">
        <v>8</v>
      </c>
      <c r="DX11" s="35">
        <f t="shared" si="182"/>
        <v>0.8126527770654034</v>
      </c>
      <c r="DY11" s="33">
        <f t="shared" si="183"/>
        <v>2.3345354987777678E-2</v>
      </c>
      <c r="DZ11" s="34">
        <f t="shared" si="184"/>
        <v>328946.44225333614</v>
      </c>
      <c r="EA11" s="82">
        <f t="shared" si="185"/>
        <v>0</v>
      </c>
      <c r="EB11" s="78" t="s">
        <v>8</v>
      </c>
      <c r="EC11" s="30" t="s">
        <v>8</v>
      </c>
      <c r="ED11" s="35">
        <f t="shared" si="186"/>
        <v>0.8126527770654034</v>
      </c>
      <c r="EE11" s="33">
        <f t="shared" si="187"/>
        <v>2.3345354987777678E-2</v>
      </c>
      <c r="EF11" s="34">
        <f t="shared" si="188"/>
        <v>328946.44225333614</v>
      </c>
      <c r="EG11" s="82">
        <f t="shared" si="189"/>
        <v>0</v>
      </c>
      <c r="EH11" s="78" t="s">
        <v>8</v>
      </c>
      <c r="EI11" s="30" t="s">
        <v>8</v>
      </c>
      <c r="EJ11" s="35">
        <f t="shared" si="190"/>
        <v>0.8126527770654034</v>
      </c>
      <c r="EK11" s="33">
        <f t="shared" si="191"/>
        <v>2.3345354987777678E-2</v>
      </c>
      <c r="EL11" s="34">
        <f t="shared" si="192"/>
        <v>328946.44225333614</v>
      </c>
      <c r="EM11" s="82">
        <f t="shared" si="193"/>
        <v>0</v>
      </c>
      <c r="EN11" s="78" t="s">
        <v>8</v>
      </c>
      <c r="EO11" s="30" t="s">
        <v>8</v>
      </c>
      <c r="EP11" s="35">
        <f t="shared" si="194"/>
        <v>0.8126527770654034</v>
      </c>
      <c r="EQ11" s="33">
        <f t="shared" si="195"/>
        <v>2.3345354987777678E-2</v>
      </c>
      <c r="ER11" s="34">
        <f t="shared" si="196"/>
        <v>328946.44225333614</v>
      </c>
      <c r="ES11" s="82">
        <f t="shared" si="197"/>
        <v>0</v>
      </c>
      <c r="ET11" s="78" t="s">
        <v>8</v>
      </c>
      <c r="EU11" s="30" t="s">
        <v>8</v>
      </c>
      <c r="EV11" s="35">
        <f t="shared" si="198"/>
        <v>0.8126527770654034</v>
      </c>
      <c r="EW11" s="33">
        <f t="shared" si="199"/>
        <v>2.3345354987777678E-2</v>
      </c>
      <c r="EX11" s="34">
        <f t="shared" si="200"/>
        <v>328946.44225333614</v>
      </c>
      <c r="EY11" s="82">
        <f t="shared" si="201"/>
        <v>0</v>
      </c>
      <c r="EZ11" s="78" t="s">
        <v>8</v>
      </c>
      <c r="FA11" s="30" t="s">
        <v>8</v>
      </c>
      <c r="FB11" s="35">
        <f t="shared" si="202"/>
        <v>0.8126527770654034</v>
      </c>
      <c r="FC11" s="33">
        <f t="shared" si="203"/>
        <v>2.3345354987777678E-2</v>
      </c>
      <c r="FD11" s="34">
        <f t="shared" si="204"/>
        <v>328946.44225333614</v>
      </c>
      <c r="FE11" s="82">
        <f t="shared" si="205"/>
        <v>0</v>
      </c>
      <c r="FF11" s="78" t="s">
        <v>8</v>
      </c>
      <c r="FG11" s="30" t="s">
        <v>8</v>
      </c>
      <c r="FH11" s="35">
        <f t="shared" si="206"/>
        <v>0.8126527770654034</v>
      </c>
      <c r="FI11" s="33">
        <f t="shared" si="207"/>
        <v>2.3345354987777678E-2</v>
      </c>
      <c r="FJ11" s="34">
        <f t="shared" si="208"/>
        <v>328946.44225333614</v>
      </c>
      <c r="FK11" s="82">
        <f t="shared" si="209"/>
        <v>0</v>
      </c>
      <c r="FL11" s="78" t="s">
        <v>8</v>
      </c>
      <c r="FM11" s="30" t="s">
        <v>8</v>
      </c>
      <c r="FN11" s="35">
        <f t="shared" si="210"/>
        <v>0.8126527770654034</v>
      </c>
      <c r="FO11" s="33">
        <f t="shared" si="211"/>
        <v>2.3345354987777678E-2</v>
      </c>
      <c r="FP11" s="34">
        <f t="shared" si="212"/>
        <v>328946.44225333614</v>
      </c>
      <c r="FQ11" s="82">
        <f t="shared" si="213"/>
        <v>0</v>
      </c>
      <c r="FR11" s="78" t="s">
        <v>8</v>
      </c>
      <c r="FS11" s="30" t="s">
        <v>8</v>
      </c>
      <c r="FT11" s="35">
        <f t="shared" si="214"/>
        <v>0.8126527770654034</v>
      </c>
      <c r="FU11" s="33">
        <f t="shared" si="215"/>
        <v>2.3345354987777678E-2</v>
      </c>
      <c r="FV11" s="34">
        <f t="shared" si="216"/>
        <v>328946.44225333614</v>
      </c>
      <c r="FW11" s="82">
        <f t="shared" si="217"/>
        <v>0</v>
      </c>
      <c r="FX11" s="78" t="s">
        <v>8</v>
      </c>
      <c r="FY11" s="30" t="s">
        <v>8</v>
      </c>
      <c r="FZ11" s="35">
        <f t="shared" si="218"/>
        <v>0.8126527770654034</v>
      </c>
      <c r="GA11" s="33">
        <f t="shared" si="219"/>
        <v>2.3345354987777678E-2</v>
      </c>
      <c r="GB11" s="34">
        <f t="shared" si="220"/>
        <v>328946.44225333614</v>
      </c>
      <c r="GC11" s="82">
        <f t="shared" si="221"/>
        <v>0</v>
      </c>
      <c r="GD11" s="78" t="s">
        <v>8</v>
      </c>
      <c r="GE11" s="30" t="s">
        <v>8</v>
      </c>
      <c r="GF11" s="35">
        <f t="shared" si="222"/>
        <v>0.8126527770654034</v>
      </c>
      <c r="GG11" s="33">
        <f t="shared" si="223"/>
        <v>2.3345354987777678E-2</v>
      </c>
      <c r="GH11" s="34">
        <f t="shared" si="224"/>
        <v>328946.44225333614</v>
      </c>
      <c r="GI11" s="132">
        <f t="shared" si="225"/>
        <v>0</v>
      </c>
      <c r="GJ11" s="155">
        <f t="shared" si="228"/>
        <v>3089783.8794283797</v>
      </c>
      <c r="GK11" s="101">
        <f t="shared" si="226"/>
        <v>3520063.7917517708</v>
      </c>
      <c r="GL11" s="88">
        <f t="shared" si="227"/>
        <v>0.81265277706540351</v>
      </c>
      <c r="GN11" s="195"/>
    </row>
    <row r="12" spans="1:196" s="25" customFormat="1" x14ac:dyDescent="0.3">
      <c r="A12" s="193" t="s">
        <v>184</v>
      </c>
      <c r="B12" s="144" t="s">
        <v>8</v>
      </c>
      <c r="C12" s="144" t="s">
        <v>8</v>
      </c>
      <c r="D12" s="144" t="s">
        <v>8</v>
      </c>
      <c r="E12" s="144" t="s">
        <v>8</v>
      </c>
      <c r="F12" s="144" t="s">
        <v>8</v>
      </c>
      <c r="G12" s="110">
        <f>'Исходные данные'!C14</f>
        <v>1362</v>
      </c>
      <c r="H12" s="31">
        <f>'Исходные данные'!D14</f>
        <v>585314</v>
      </c>
      <c r="I12" s="32">
        <f>'Расчет КРП'!F10</f>
        <v>1.5436959033018365</v>
      </c>
      <c r="J12" s="117" t="s">
        <v>8</v>
      </c>
      <c r="K12" s="121">
        <f t="shared" si="104"/>
        <v>0.20095958088558724</v>
      </c>
      <c r="L12" s="79">
        <f t="shared" si="105"/>
        <v>206643.5968210361</v>
      </c>
      <c r="M12" s="75">
        <f t="shared" si="106"/>
        <v>0.27190784217755304</v>
      </c>
      <c r="N12" s="30" t="s">
        <v>8</v>
      </c>
      <c r="O12" s="33">
        <f t="shared" si="107"/>
        <v>0.21874096091130329</v>
      </c>
      <c r="P12" s="34">
        <f t="shared" si="108"/>
        <v>706881.21524848312</v>
      </c>
      <c r="Q12" s="82">
        <f t="shared" si="109"/>
        <v>706881.21524848312</v>
      </c>
      <c r="R12" s="148" t="s">
        <v>8</v>
      </c>
      <c r="S12" s="30" t="s">
        <v>8</v>
      </c>
      <c r="T12" s="35">
        <f t="shared" si="110"/>
        <v>0.51460586879613679</v>
      </c>
      <c r="U12" s="33">
        <f t="shared" si="111"/>
        <v>8.5123519969010908E-2</v>
      </c>
      <c r="V12" s="55">
        <f t="shared" si="112"/>
        <v>318598.15819566703</v>
      </c>
      <c r="W12" s="82">
        <f t="shared" si="113"/>
        <v>318598.15819566703</v>
      </c>
      <c r="X12" s="78" t="s">
        <v>8</v>
      </c>
      <c r="Y12" s="30" t="s">
        <v>8</v>
      </c>
      <c r="Z12" s="35">
        <f t="shared" si="114"/>
        <v>0.62399220218628504</v>
      </c>
      <c r="AA12" s="33">
        <f t="shared" si="115"/>
        <v>5.2283478395705241E-2</v>
      </c>
      <c r="AB12" s="55">
        <f t="shared" si="116"/>
        <v>215648.53224336708</v>
      </c>
      <c r="AC12" s="82">
        <f t="shared" si="117"/>
        <v>215648.53224336708</v>
      </c>
      <c r="AD12" s="78" t="s">
        <v>8</v>
      </c>
      <c r="AE12" s="30" t="s">
        <v>8</v>
      </c>
      <c r="AF12" s="35">
        <f t="shared" si="118"/>
        <v>0.69803218526924415</v>
      </c>
      <c r="AG12" s="33">
        <f t="shared" si="119"/>
        <v>3.5547790734348994E-2</v>
      </c>
      <c r="AH12" s="55">
        <f t="shared" si="120"/>
        <v>156650.17639024206</v>
      </c>
      <c r="AI12" s="82">
        <f t="shared" si="121"/>
        <v>156650.17639024206</v>
      </c>
      <c r="AJ12" s="78" t="s">
        <v>8</v>
      </c>
      <c r="AK12" s="30" t="s">
        <v>8</v>
      </c>
      <c r="AL12" s="35">
        <f t="shared" si="122"/>
        <v>0.75181588733862303</v>
      </c>
      <c r="AM12" s="33">
        <f t="shared" si="123"/>
        <v>3.2150677043350173E-2</v>
      </c>
      <c r="AN12" s="55">
        <f t="shared" si="124"/>
        <v>152354.65331388134</v>
      </c>
      <c r="AO12" s="82">
        <f t="shared" si="125"/>
        <v>152354.65331388134</v>
      </c>
      <c r="AP12" s="78" t="s">
        <v>8</v>
      </c>
      <c r="AQ12" s="30" t="s">
        <v>8</v>
      </c>
      <c r="AR12" s="35">
        <f t="shared" si="126"/>
        <v>0.80412478013108402</v>
      </c>
      <c r="AS12" s="33">
        <f t="shared" si="127"/>
        <v>2.3777366882996254E-2</v>
      </c>
      <c r="AT12" s="55">
        <f t="shared" si="128"/>
        <v>118605.16252194851</v>
      </c>
      <c r="AU12" s="82">
        <f t="shared" si="129"/>
        <v>26063.226985560072</v>
      </c>
      <c r="AV12" s="78" t="s">
        <v>8</v>
      </c>
      <c r="AW12" s="30" t="s">
        <v>8</v>
      </c>
      <c r="AX12" s="35">
        <f t="shared" si="130"/>
        <v>0.81307323373298679</v>
      </c>
      <c r="AY12" s="33">
        <f t="shared" si="131"/>
        <v>2.2924898320194287E-2</v>
      </c>
      <c r="AZ12" s="55">
        <f t="shared" si="132"/>
        <v>115523.7926492103</v>
      </c>
      <c r="BA12" s="82">
        <f t="shared" si="133"/>
        <v>0</v>
      </c>
      <c r="BB12" s="78" t="s">
        <v>8</v>
      </c>
      <c r="BC12" s="30" t="s">
        <v>8</v>
      </c>
      <c r="BD12" s="35">
        <f t="shared" si="134"/>
        <v>0.81307323373298679</v>
      </c>
      <c r="BE12" s="33">
        <f t="shared" si="135"/>
        <v>2.2924898320194287E-2</v>
      </c>
      <c r="BF12" s="55">
        <f t="shared" si="136"/>
        <v>115523.7926492103</v>
      </c>
      <c r="BG12" s="82">
        <f t="shared" si="137"/>
        <v>0</v>
      </c>
      <c r="BH12" s="78" t="s">
        <v>8</v>
      </c>
      <c r="BI12" s="30" t="s">
        <v>8</v>
      </c>
      <c r="BJ12" s="35">
        <f t="shared" si="138"/>
        <v>0.81307323373298679</v>
      </c>
      <c r="BK12" s="33">
        <f t="shared" si="139"/>
        <v>2.2924898320194287E-2</v>
      </c>
      <c r="BL12" s="55">
        <f t="shared" si="140"/>
        <v>115523.7926492103</v>
      </c>
      <c r="BM12" s="82">
        <f t="shared" si="141"/>
        <v>0</v>
      </c>
      <c r="BN12" s="78" t="s">
        <v>8</v>
      </c>
      <c r="BO12" s="30" t="s">
        <v>8</v>
      </c>
      <c r="BP12" s="35">
        <f t="shared" si="142"/>
        <v>0.81307323373298679</v>
      </c>
      <c r="BQ12" s="33">
        <f t="shared" si="143"/>
        <v>2.2924898320194287E-2</v>
      </c>
      <c r="BR12" s="55">
        <f t="shared" si="144"/>
        <v>115523.7926492103</v>
      </c>
      <c r="BS12" s="132">
        <f t="shared" si="145"/>
        <v>0</v>
      </c>
      <c r="BT12" s="78" t="s">
        <v>8</v>
      </c>
      <c r="BU12" s="30" t="s">
        <v>8</v>
      </c>
      <c r="BV12" s="35">
        <f t="shared" si="146"/>
        <v>0.81307323373298679</v>
      </c>
      <c r="BW12" s="33">
        <f t="shared" si="147"/>
        <v>2.2924898320194287E-2</v>
      </c>
      <c r="BX12" s="55">
        <f t="shared" si="148"/>
        <v>115523.7926492103</v>
      </c>
      <c r="BY12" s="132">
        <f t="shared" si="149"/>
        <v>0</v>
      </c>
      <c r="BZ12" s="78" t="s">
        <v>8</v>
      </c>
      <c r="CA12" s="30" t="s">
        <v>8</v>
      </c>
      <c r="CB12" s="35">
        <f t="shared" si="150"/>
        <v>0.81307323373298679</v>
      </c>
      <c r="CC12" s="33">
        <f t="shared" si="151"/>
        <v>2.2924898320194287E-2</v>
      </c>
      <c r="CD12" s="55">
        <f t="shared" si="152"/>
        <v>115523.7926492103</v>
      </c>
      <c r="CE12" s="132">
        <f t="shared" si="153"/>
        <v>0</v>
      </c>
      <c r="CF12" s="78" t="s">
        <v>8</v>
      </c>
      <c r="CG12" s="30" t="s">
        <v>8</v>
      </c>
      <c r="CH12" s="35">
        <f t="shared" si="154"/>
        <v>0.81307323373298679</v>
      </c>
      <c r="CI12" s="33">
        <f t="shared" si="155"/>
        <v>2.2924898320194287E-2</v>
      </c>
      <c r="CJ12" s="55">
        <f t="shared" si="156"/>
        <v>115523.7926492103</v>
      </c>
      <c r="CK12" s="132">
        <f t="shared" si="157"/>
        <v>0</v>
      </c>
      <c r="CL12" s="78" t="s">
        <v>8</v>
      </c>
      <c r="CM12" s="30" t="s">
        <v>8</v>
      </c>
      <c r="CN12" s="35">
        <f t="shared" si="158"/>
        <v>0.81307323373298679</v>
      </c>
      <c r="CO12" s="33">
        <f t="shared" si="159"/>
        <v>2.2924898320194287E-2</v>
      </c>
      <c r="CP12" s="55">
        <f t="shared" si="160"/>
        <v>115523.7926492103</v>
      </c>
      <c r="CQ12" s="132">
        <f t="shared" si="161"/>
        <v>0</v>
      </c>
      <c r="CR12" s="78" t="s">
        <v>8</v>
      </c>
      <c r="CS12" s="30" t="s">
        <v>8</v>
      </c>
      <c r="CT12" s="35">
        <f t="shared" si="162"/>
        <v>0.81307323373298679</v>
      </c>
      <c r="CU12" s="33">
        <f t="shared" si="163"/>
        <v>2.2924898320194287E-2</v>
      </c>
      <c r="CV12" s="55">
        <f t="shared" si="164"/>
        <v>115523.7926492103</v>
      </c>
      <c r="CW12" s="132">
        <f t="shared" si="165"/>
        <v>0</v>
      </c>
      <c r="CX12" s="78" t="s">
        <v>8</v>
      </c>
      <c r="CY12" s="30" t="s">
        <v>8</v>
      </c>
      <c r="CZ12" s="35">
        <f t="shared" si="166"/>
        <v>0.81307323373298679</v>
      </c>
      <c r="DA12" s="33">
        <f t="shared" si="167"/>
        <v>2.2924898320194287E-2</v>
      </c>
      <c r="DB12" s="55">
        <f t="shared" si="168"/>
        <v>115523.7926492103</v>
      </c>
      <c r="DC12" s="132">
        <f t="shared" si="169"/>
        <v>0</v>
      </c>
      <c r="DD12" s="78" t="s">
        <v>8</v>
      </c>
      <c r="DE12" s="30" t="s">
        <v>8</v>
      </c>
      <c r="DF12" s="35">
        <f t="shared" si="170"/>
        <v>0.81307323373298679</v>
      </c>
      <c r="DG12" s="33">
        <f t="shared" si="171"/>
        <v>2.2924898320194287E-2</v>
      </c>
      <c r="DH12" s="55">
        <f t="shared" si="172"/>
        <v>115523.7926492103</v>
      </c>
      <c r="DI12" s="132">
        <f t="shared" si="173"/>
        <v>0</v>
      </c>
      <c r="DJ12" s="78" t="s">
        <v>8</v>
      </c>
      <c r="DK12" s="30" t="s">
        <v>8</v>
      </c>
      <c r="DL12" s="35">
        <f t="shared" si="174"/>
        <v>0.81307323373298679</v>
      </c>
      <c r="DM12" s="33">
        <f t="shared" si="175"/>
        <v>2.2924898320194287E-2</v>
      </c>
      <c r="DN12" s="55">
        <f t="shared" si="176"/>
        <v>115523.7926492103</v>
      </c>
      <c r="DO12" s="132">
        <f t="shared" si="177"/>
        <v>0</v>
      </c>
      <c r="DP12" s="78" t="s">
        <v>8</v>
      </c>
      <c r="DQ12" s="30" t="s">
        <v>8</v>
      </c>
      <c r="DR12" s="35">
        <f t="shared" si="178"/>
        <v>0.81307323373298679</v>
      </c>
      <c r="DS12" s="33">
        <f t="shared" si="179"/>
        <v>2.2924898320194287E-2</v>
      </c>
      <c r="DT12" s="55">
        <f t="shared" si="180"/>
        <v>115523.7926492103</v>
      </c>
      <c r="DU12" s="132">
        <f t="shared" si="181"/>
        <v>0</v>
      </c>
      <c r="DV12" s="78" t="s">
        <v>8</v>
      </c>
      <c r="DW12" s="30" t="s">
        <v>8</v>
      </c>
      <c r="DX12" s="35">
        <f t="shared" si="182"/>
        <v>0.81307323373298679</v>
      </c>
      <c r="DY12" s="33">
        <f t="shared" si="183"/>
        <v>2.2924898320194287E-2</v>
      </c>
      <c r="DZ12" s="34">
        <f t="shared" si="184"/>
        <v>115523.7926492103</v>
      </c>
      <c r="EA12" s="82">
        <f t="shared" si="185"/>
        <v>0</v>
      </c>
      <c r="EB12" s="78" t="s">
        <v>8</v>
      </c>
      <c r="EC12" s="30" t="s">
        <v>8</v>
      </c>
      <c r="ED12" s="35">
        <f t="shared" si="186"/>
        <v>0.81307323373298679</v>
      </c>
      <c r="EE12" s="33">
        <f t="shared" si="187"/>
        <v>2.2924898320194287E-2</v>
      </c>
      <c r="EF12" s="34">
        <f t="shared" si="188"/>
        <v>115523.7926492103</v>
      </c>
      <c r="EG12" s="82">
        <f t="shared" si="189"/>
        <v>0</v>
      </c>
      <c r="EH12" s="78" t="s">
        <v>8</v>
      </c>
      <c r="EI12" s="30" t="s">
        <v>8</v>
      </c>
      <c r="EJ12" s="35">
        <f t="shared" si="190"/>
        <v>0.81307323373298679</v>
      </c>
      <c r="EK12" s="33">
        <f t="shared" si="191"/>
        <v>2.2924898320194287E-2</v>
      </c>
      <c r="EL12" s="34">
        <f t="shared" si="192"/>
        <v>115523.7926492103</v>
      </c>
      <c r="EM12" s="82">
        <f t="shared" si="193"/>
        <v>0</v>
      </c>
      <c r="EN12" s="78" t="s">
        <v>8</v>
      </c>
      <c r="EO12" s="30" t="s">
        <v>8</v>
      </c>
      <c r="EP12" s="35">
        <f t="shared" si="194"/>
        <v>0.81307323373298679</v>
      </c>
      <c r="EQ12" s="33">
        <f t="shared" si="195"/>
        <v>2.2924898320194287E-2</v>
      </c>
      <c r="ER12" s="34">
        <f t="shared" si="196"/>
        <v>115523.7926492103</v>
      </c>
      <c r="ES12" s="82">
        <f t="shared" si="197"/>
        <v>0</v>
      </c>
      <c r="ET12" s="78" t="s">
        <v>8</v>
      </c>
      <c r="EU12" s="30" t="s">
        <v>8</v>
      </c>
      <c r="EV12" s="35">
        <f t="shared" si="198"/>
        <v>0.81307323373298679</v>
      </c>
      <c r="EW12" s="33">
        <f t="shared" si="199"/>
        <v>2.2924898320194287E-2</v>
      </c>
      <c r="EX12" s="34">
        <f t="shared" si="200"/>
        <v>115523.7926492103</v>
      </c>
      <c r="EY12" s="82">
        <f t="shared" si="201"/>
        <v>0</v>
      </c>
      <c r="EZ12" s="78" t="s">
        <v>8</v>
      </c>
      <c r="FA12" s="30" t="s">
        <v>8</v>
      </c>
      <c r="FB12" s="35">
        <f t="shared" si="202"/>
        <v>0.81307323373298679</v>
      </c>
      <c r="FC12" s="33">
        <f t="shared" si="203"/>
        <v>2.2924898320194287E-2</v>
      </c>
      <c r="FD12" s="34">
        <f t="shared" si="204"/>
        <v>115523.7926492103</v>
      </c>
      <c r="FE12" s="82">
        <f t="shared" si="205"/>
        <v>0</v>
      </c>
      <c r="FF12" s="78" t="s">
        <v>8</v>
      </c>
      <c r="FG12" s="30" t="s">
        <v>8</v>
      </c>
      <c r="FH12" s="35">
        <f t="shared" si="206"/>
        <v>0.81307323373298679</v>
      </c>
      <c r="FI12" s="33">
        <f t="shared" si="207"/>
        <v>2.2924898320194287E-2</v>
      </c>
      <c r="FJ12" s="34">
        <f t="shared" si="208"/>
        <v>115523.7926492103</v>
      </c>
      <c r="FK12" s="82">
        <f t="shared" si="209"/>
        <v>0</v>
      </c>
      <c r="FL12" s="78" t="s">
        <v>8</v>
      </c>
      <c r="FM12" s="30" t="s">
        <v>8</v>
      </c>
      <c r="FN12" s="35">
        <f t="shared" si="210"/>
        <v>0.81307323373298679</v>
      </c>
      <c r="FO12" s="33">
        <f t="shared" si="211"/>
        <v>2.2924898320194287E-2</v>
      </c>
      <c r="FP12" s="34">
        <f t="shared" si="212"/>
        <v>115523.7926492103</v>
      </c>
      <c r="FQ12" s="82">
        <f t="shared" si="213"/>
        <v>0</v>
      </c>
      <c r="FR12" s="78" t="s">
        <v>8</v>
      </c>
      <c r="FS12" s="30" t="s">
        <v>8</v>
      </c>
      <c r="FT12" s="35">
        <f t="shared" si="214"/>
        <v>0.81307323373298679</v>
      </c>
      <c r="FU12" s="33">
        <f t="shared" si="215"/>
        <v>2.2924898320194287E-2</v>
      </c>
      <c r="FV12" s="34">
        <f t="shared" si="216"/>
        <v>115523.7926492103</v>
      </c>
      <c r="FW12" s="82">
        <f t="shared" si="217"/>
        <v>0</v>
      </c>
      <c r="FX12" s="78" t="s">
        <v>8</v>
      </c>
      <c r="FY12" s="30" t="s">
        <v>8</v>
      </c>
      <c r="FZ12" s="35">
        <f t="shared" si="218"/>
        <v>0.81307323373298679</v>
      </c>
      <c r="GA12" s="33">
        <f t="shared" si="219"/>
        <v>2.2924898320194287E-2</v>
      </c>
      <c r="GB12" s="34">
        <f t="shared" si="220"/>
        <v>115523.7926492103</v>
      </c>
      <c r="GC12" s="82">
        <f t="shared" si="221"/>
        <v>0</v>
      </c>
      <c r="GD12" s="78" t="s">
        <v>8</v>
      </c>
      <c r="GE12" s="30" t="s">
        <v>8</v>
      </c>
      <c r="GF12" s="35">
        <f t="shared" si="222"/>
        <v>0.81307323373298679</v>
      </c>
      <c r="GG12" s="33">
        <f t="shared" si="223"/>
        <v>2.2924898320194287E-2</v>
      </c>
      <c r="GH12" s="34">
        <f t="shared" si="224"/>
        <v>115523.7926492103</v>
      </c>
      <c r="GI12" s="132">
        <f t="shared" si="225"/>
        <v>0</v>
      </c>
      <c r="GJ12" s="155">
        <f t="shared" si="228"/>
        <v>1576195.9623772006</v>
      </c>
      <c r="GK12" s="101">
        <f t="shared" si="226"/>
        <v>1782839.5591982368</v>
      </c>
      <c r="GL12" s="88">
        <f t="shared" si="227"/>
        <v>0.81307323373298668</v>
      </c>
      <c r="GN12" s="195"/>
    </row>
    <row r="13" spans="1:196" s="25" customFormat="1" ht="15.75" customHeight="1" x14ac:dyDescent="0.3">
      <c r="A13" s="193" t="s">
        <v>185</v>
      </c>
      <c r="B13" s="144" t="s">
        <v>8</v>
      </c>
      <c r="C13" s="144" t="s">
        <v>8</v>
      </c>
      <c r="D13" s="144" t="s">
        <v>8</v>
      </c>
      <c r="E13" s="144" t="s">
        <v>8</v>
      </c>
      <c r="F13" s="144" t="s">
        <v>8</v>
      </c>
      <c r="G13" s="110">
        <f>'Исходные данные'!C15</f>
        <v>2092</v>
      </c>
      <c r="H13" s="31">
        <f>'Исходные данные'!D15</f>
        <v>4018993</v>
      </c>
      <c r="I13" s="32">
        <f>'Расчет КРП'!F11</f>
        <v>2.5690127679917376</v>
      </c>
      <c r="J13" s="117" t="s">
        <v>8</v>
      </c>
      <c r="K13" s="121">
        <f t="shared" si="104"/>
        <v>0.53981875635395915</v>
      </c>
      <c r="L13" s="79">
        <f t="shared" si="105"/>
        <v>317399.70965463109</v>
      </c>
      <c r="M13" s="75">
        <f t="shared" si="106"/>
        <v>0.58245090737608607</v>
      </c>
      <c r="N13" s="30" t="s">
        <v>8</v>
      </c>
      <c r="O13" s="33">
        <f t="shared" si="107"/>
        <v>-9.1802104287229735E-2</v>
      </c>
      <c r="P13" s="34">
        <f t="shared" si="108"/>
        <v>0</v>
      </c>
      <c r="Q13" s="82">
        <f t="shared" si="109"/>
        <v>0</v>
      </c>
      <c r="R13" s="148" t="s">
        <v>8</v>
      </c>
      <c r="S13" s="30" t="s">
        <v>8</v>
      </c>
      <c r="T13" s="35">
        <f t="shared" si="110"/>
        <v>0.58245090737608607</v>
      </c>
      <c r="U13" s="33">
        <f t="shared" si="111"/>
        <v>1.7278481389061628E-2</v>
      </c>
      <c r="V13" s="55">
        <f t="shared" si="112"/>
        <v>165305.89455617723</v>
      </c>
      <c r="W13" s="82">
        <f t="shared" si="113"/>
        <v>165305.89455617723</v>
      </c>
      <c r="X13" s="78" t="s">
        <v>8</v>
      </c>
      <c r="Y13" s="30" t="s">
        <v>8</v>
      </c>
      <c r="Z13" s="35">
        <f t="shared" si="114"/>
        <v>0.60465428578886105</v>
      </c>
      <c r="AA13" s="33">
        <f t="shared" si="115"/>
        <v>7.1621394793129234E-2</v>
      </c>
      <c r="AB13" s="55">
        <f t="shared" si="116"/>
        <v>755116.38062014023</v>
      </c>
      <c r="AC13" s="82">
        <f t="shared" si="117"/>
        <v>755116.38062014023</v>
      </c>
      <c r="AD13" s="78" t="s">
        <v>8</v>
      </c>
      <c r="AE13" s="30" t="s">
        <v>8</v>
      </c>
      <c r="AF13" s="35">
        <f t="shared" si="118"/>
        <v>0.70607919135323183</v>
      </c>
      <c r="AG13" s="33">
        <f t="shared" si="119"/>
        <v>2.7500784650361321E-2</v>
      </c>
      <c r="AH13" s="55">
        <f t="shared" si="120"/>
        <v>309779.33444380108</v>
      </c>
      <c r="AI13" s="82">
        <f t="shared" si="121"/>
        <v>309779.33444380108</v>
      </c>
      <c r="AJ13" s="78" t="s">
        <v>8</v>
      </c>
      <c r="AK13" s="30" t="s">
        <v>8</v>
      </c>
      <c r="AL13" s="35">
        <f t="shared" si="122"/>
        <v>0.74768779705710098</v>
      </c>
      <c r="AM13" s="33">
        <f t="shared" si="123"/>
        <v>3.627876732487223E-2</v>
      </c>
      <c r="AN13" s="55">
        <f t="shared" si="124"/>
        <v>439447.71063210908</v>
      </c>
      <c r="AO13" s="82">
        <f t="shared" si="125"/>
        <v>439447.71063210908</v>
      </c>
      <c r="AP13" s="78" t="s">
        <v>8</v>
      </c>
      <c r="AQ13" s="30" t="s">
        <v>8</v>
      </c>
      <c r="AR13" s="35">
        <f t="shared" si="126"/>
        <v>0.80671305951364658</v>
      </c>
      <c r="AS13" s="33">
        <f t="shared" si="127"/>
        <v>2.118908750043369E-2</v>
      </c>
      <c r="AT13" s="55">
        <f t="shared" si="128"/>
        <v>270172.51904932671</v>
      </c>
      <c r="AU13" s="82">
        <f t="shared" si="129"/>
        <v>59369.824546550204</v>
      </c>
      <c r="AV13" s="78" t="s">
        <v>8</v>
      </c>
      <c r="AW13" s="30" t="s">
        <v>8</v>
      </c>
      <c r="AX13" s="35">
        <f t="shared" si="130"/>
        <v>0.81468743141518285</v>
      </c>
      <c r="AY13" s="33">
        <f t="shared" si="131"/>
        <v>2.1310700637998226E-2</v>
      </c>
      <c r="AZ13" s="55">
        <f t="shared" si="132"/>
        <v>274505.3621681009</v>
      </c>
      <c r="BA13" s="82">
        <f t="shared" si="133"/>
        <v>0</v>
      </c>
      <c r="BB13" s="78" t="s">
        <v>8</v>
      </c>
      <c r="BC13" s="30" t="s">
        <v>8</v>
      </c>
      <c r="BD13" s="35">
        <f t="shared" si="134"/>
        <v>0.81468743141518285</v>
      </c>
      <c r="BE13" s="33">
        <f t="shared" si="135"/>
        <v>2.1310700637998226E-2</v>
      </c>
      <c r="BF13" s="55">
        <f t="shared" si="136"/>
        <v>274505.3621681009</v>
      </c>
      <c r="BG13" s="82">
        <f t="shared" si="137"/>
        <v>0</v>
      </c>
      <c r="BH13" s="78" t="s">
        <v>8</v>
      </c>
      <c r="BI13" s="30" t="s">
        <v>8</v>
      </c>
      <c r="BJ13" s="35">
        <f t="shared" si="138"/>
        <v>0.81468743141518285</v>
      </c>
      <c r="BK13" s="33">
        <f t="shared" si="139"/>
        <v>2.1310700637998226E-2</v>
      </c>
      <c r="BL13" s="55">
        <f t="shared" si="140"/>
        <v>274505.3621681009</v>
      </c>
      <c r="BM13" s="82">
        <f t="shared" si="141"/>
        <v>0</v>
      </c>
      <c r="BN13" s="78" t="s">
        <v>8</v>
      </c>
      <c r="BO13" s="30" t="s">
        <v>8</v>
      </c>
      <c r="BP13" s="35">
        <f t="shared" si="142"/>
        <v>0.81468743141518285</v>
      </c>
      <c r="BQ13" s="33">
        <f t="shared" si="143"/>
        <v>2.1310700637998226E-2</v>
      </c>
      <c r="BR13" s="55">
        <f t="shared" si="144"/>
        <v>274505.3621681009</v>
      </c>
      <c r="BS13" s="132">
        <f t="shared" si="145"/>
        <v>0</v>
      </c>
      <c r="BT13" s="78" t="s">
        <v>8</v>
      </c>
      <c r="BU13" s="30" t="s">
        <v>8</v>
      </c>
      <c r="BV13" s="35">
        <f t="shared" si="146"/>
        <v>0.81468743141518285</v>
      </c>
      <c r="BW13" s="33">
        <f t="shared" si="147"/>
        <v>2.1310700637998226E-2</v>
      </c>
      <c r="BX13" s="55">
        <f t="shared" si="148"/>
        <v>274505.3621681009</v>
      </c>
      <c r="BY13" s="132">
        <f t="shared" si="149"/>
        <v>0</v>
      </c>
      <c r="BZ13" s="78" t="s">
        <v>8</v>
      </c>
      <c r="CA13" s="30" t="s">
        <v>8</v>
      </c>
      <c r="CB13" s="35">
        <f t="shared" si="150"/>
        <v>0.81468743141518285</v>
      </c>
      <c r="CC13" s="33">
        <f t="shared" si="151"/>
        <v>2.1310700637998226E-2</v>
      </c>
      <c r="CD13" s="55">
        <f t="shared" si="152"/>
        <v>274505.3621681009</v>
      </c>
      <c r="CE13" s="132">
        <f t="shared" si="153"/>
        <v>0</v>
      </c>
      <c r="CF13" s="78" t="s">
        <v>8</v>
      </c>
      <c r="CG13" s="30" t="s">
        <v>8</v>
      </c>
      <c r="CH13" s="35">
        <f t="shared" si="154"/>
        <v>0.81468743141518285</v>
      </c>
      <c r="CI13" s="33">
        <f t="shared" si="155"/>
        <v>2.1310700637998226E-2</v>
      </c>
      <c r="CJ13" s="55">
        <f t="shared" si="156"/>
        <v>274505.3621681009</v>
      </c>
      <c r="CK13" s="132">
        <f t="shared" si="157"/>
        <v>0</v>
      </c>
      <c r="CL13" s="78" t="s">
        <v>8</v>
      </c>
      <c r="CM13" s="30" t="s">
        <v>8</v>
      </c>
      <c r="CN13" s="35">
        <f t="shared" si="158"/>
        <v>0.81468743141518285</v>
      </c>
      <c r="CO13" s="33">
        <f t="shared" si="159"/>
        <v>2.1310700637998226E-2</v>
      </c>
      <c r="CP13" s="55">
        <f t="shared" si="160"/>
        <v>274505.3621681009</v>
      </c>
      <c r="CQ13" s="132">
        <f t="shared" si="161"/>
        <v>0</v>
      </c>
      <c r="CR13" s="78" t="s">
        <v>8</v>
      </c>
      <c r="CS13" s="30" t="s">
        <v>8</v>
      </c>
      <c r="CT13" s="35">
        <f t="shared" si="162"/>
        <v>0.81468743141518285</v>
      </c>
      <c r="CU13" s="33">
        <f t="shared" si="163"/>
        <v>2.1310700637998226E-2</v>
      </c>
      <c r="CV13" s="55">
        <f t="shared" si="164"/>
        <v>274505.3621681009</v>
      </c>
      <c r="CW13" s="132">
        <f t="shared" si="165"/>
        <v>0</v>
      </c>
      <c r="CX13" s="78" t="s">
        <v>8</v>
      </c>
      <c r="CY13" s="30" t="s">
        <v>8</v>
      </c>
      <c r="CZ13" s="35">
        <f t="shared" si="166"/>
        <v>0.81468743141518285</v>
      </c>
      <c r="DA13" s="33">
        <f t="shared" si="167"/>
        <v>2.1310700637998226E-2</v>
      </c>
      <c r="DB13" s="55">
        <f t="shared" si="168"/>
        <v>274505.3621681009</v>
      </c>
      <c r="DC13" s="132">
        <f t="shared" si="169"/>
        <v>0</v>
      </c>
      <c r="DD13" s="78" t="s">
        <v>8</v>
      </c>
      <c r="DE13" s="30" t="s">
        <v>8</v>
      </c>
      <c r="DF13" s="35">
        <f t="shared" si="170"/>
        <v>0.81468743141518285</v>
      </c>
      <c r="DG13" s="33">
        <f t="shared" si="171"/>
        <v>2.1310700637998226E-2</v>
      </c>
      <c r="DH13" s="55">
        <f t="shared" si="172"/>
        <v>274505.3621681009</v>
      </c>
      <c r="DI13" s="132">
        <f t="shared" si="173"/>
        <v>0</v>
      </c>
      <c r="DJ13" s="78" t="s">
        <v>8</v>
      </c>
      <c r="DK13" s="30" t="s">
        <v>8</v>
      </c>
      <c r="DL13" s="35">
        <f t="shared" si="174"/>
        <v>0.81468743141518285</v>
      </c>
      <c r="DM13" s="33">
        <f t="shared" si="175"/>
        <v>2.1310700637998226E-2</v>
      </c>
      <c r="DN13" s="55">
        <f t="shared" si="176"/>
        <v>274505.3621681009</v>
      </c>
      <c r="DO13" s="132">
        <f t="shared" si="177"/>
        <v>0</v>
      </c>
      <c r="DP13" s="78" t="s">
        <v>8</v>
      </c>
      <c r="DQ13" s="30" t="s">
        <v>8</v>
      </c>
      <c r="DR13" s="35">
        <f t="shared" si="178"/>
        <v>0.81468743141518285</v>
      </c>
      <c r="DS13" s="33">
        <f t="shared" si="179"/>
        <v>2.1310700637998226E-2</v>
      </c>
      <c r="DT13" s="55">
        <f t="shared" si="180"/>
        <v>274505.3621681009</v>
      </c>
      <c r="DU13" s="132">
        <f t="shared" si="181"/>
        <v>0</v>
      </c>
      <c r="DV13" s="78" t="s">
        <v>8</v>
      </c>
      <c r="DW13" s="30" t="s">
        <v>8</v>
      </c>
      <c r="DX13" s="35">
        <f t="shared" si="182"/>
        <v>0.81468743141518285</v>
      </c>
      <c r="DY13" s="33">
        <f t="shared" si="183"/>
        <v>2.1310700637998226E-2</v>
      </c>
      <c r="DZ13" s="34">
        <f t="shared" si="184"/>
        <v>274505.3621681009</v>
      </c>
      <c r="EA13" s="82">
        <f t="shared" si="185"/>
        <v>0</v>
      </c>
      <c r="EB13" s="78" t="s">
        <v>8</v>
      </c>
      <c r="EC13" s="30" t="s">
        <v>8</v>
      </c>
      <c r="ED13" s="35">
        <f t="shared" si="186"/>
        <v>0.81468743141518285</v>
      </c>
      <c r="EE13" s="33">
        <f t="shared" si="187"/>
        <v>2.1310700637998226E-2</v>
      </c>
      <c r="EF13" s="34">
        <f t="shared" si="188"/>
        <v>274505.3621681009</v>
      </c>
      <c r="EG13" s="82">
        <f t="shared" si="189"/>
        <v>0</v>
      </c>
      <c r="EH13" s="78" t="s">
        <v>8</v>
      </c>
      <c r="EI13" s="30" t="s">
        <v>8</v>
      </c>
      <c r="EJ13" s="35">
        <f t="shared" si="190"/>
        <v>0.81468743141518285</v>
      </c>
      <c r="EK13" s="33">
        <f t="shared" si="191"/>
        <v>2.1310700637998226E-2</v>
      </c>
      <c r="EL13" s="34">
        <f t="shared" si="192"/>
        <v>274505.3621681009</v>
      </c>
      <c r="EM13" s="82">
        <f t="shared" si="193"/>
        <v>0</v>
      </c>
      <c r="EN13" s="78" t="s">
        <v>8</v>
      </c>
      <c r="EO13" s="30" t="s">
        <v>8</v>
      </c>
      <c r="EP13" s="35">
        <f t="shared" si="194"/>
        <v>0.81468743141518285</v>
      </c>
      <c r="EQ13" s="33">
        <f t="shared" si="195"/>
        <v>2.1310700637998226E-2</v>
      </c>
      <c r="ER13" s="34">
        <f t="shared" si="196"/>
        <v>274505.3621681009</v>
      </c>
      <c r="ES13" s="82">
        <f t="shared" si="197"/>
        <v>0</v>
      </c>
      <c r="ET13" s="78" t="s">
        <v>8</v>
      </c>
      <c r="EU13" s="30" t="s">
        <v>8</v>
      </c>
      <c r="EV13" s="35">
        <f t="shared" si="198"/>
        <v>0.81468743141518285</v>
      </c>
      <c r="EW13" s="33">
        <f t="shared" si="199"/>
        <v>2.1310700637998226E-2</v>
      </c>
      <c r="EX13" s="34">
        <f t="shared" si="200"/>
        <v>274505.3621681009</v>
      </c>
      <c r="EY13" s="82">
        <f t="shared" si="201"/>
        <v>0</v>
      </c>
      <c r="EZ13" s="78" t="s">
        <v>8</v>
      </c>
      <c r="FA13" s="30" t="s">
        <v>8</v>
      </c>
      <c r="FB13" s="35">
        <f t="shared" si="202"/>
        <v>0.81468743141518285</v>
      </c>
      <c r="FC13" s="33">
        <f t="shared" si="203"/>
        <v>2.1310700637998226E-2</v>
      </c>
      <c r="FD13" s="34">
        <f t="shared" si="204"/>
        <v>274505.3621681009</v>
      </c>
      <c r="FE13" s="82">
        <f t="shared" si="205"/>
        <v>0</v>
      </c>
      <c r="FF13" s="78" t="s">
        <v>8</v>
      </c>
      <c r="FG13" s="30" t="s">
        <v>8</v>
      </c>
      <c r="FH13" s="35">
        <f t="shared" si="206"/>
        <v>0.81468743141518285</v>
      </c>
      <c r="FI13" s="33">
        <f t="shared" si="207"/>
        <v>2.1310700637998226E-2</v>
      </c>
      <c r="FJ13" s="34">
        <f t="shared" si="208"/>
        <v>274505.3621681009</v>
      </c>
      <c r="FK13" s="82">
        <f t="shared" si="209"/>
        <v>0</v>
      </c>
      <c r="FL13" s="78" t="s">
        <v>8</v>
      </c>
      <c r="FM13" s="30" t="s">
        <v>8</v>
      </c>
      <c r="FN13" s="35">
        <f t="shared" si="210"/>
        <v>0.81468743141518285</v>
      </c>
      <c r="FO13" s="33">
        <f t="shared" si="211"/>
        <v>2.1310700637998226E-2</v>
      </c>
      <c r="FP13" s="34">
        <f t="shared" si="212"/>
        <v>274505.3621681009</v>
      </c>
      <c r="FQ13" s="82">
        <f t="shared" si="213"/>
        <v>0</v>
      </c>
      <c r="FR13" s="78" t="s">
        <v>8</v>
      </c>
      <c r="FS13" s="30" t="s">
        <v>8</v>
      </c>
      <c r="FT13" s="35">
        <f t="shared" si="214"/>
        <v>0.81468743141518285</v>
      </c>
      <c r="FU13" s="33">
        <f t="shared" si="215"/>
        <v>2.1310700637998226E-2</v>
      </c>
      <c r="FV13" s="34">
        <f t="shared" si="216"/>
        <v>274505.3621681009</v>
      </c>
      <c r="FW13" s="82">
        <f t="shared" si="217"/>
        <v>0</v>
      </c>
      <c r="FX13" s="78" t="s">
        <v>8</v>
      </c>
      <c r="FY13" s="30" t="s">
        <v>8</v>
      </c>
      <c r="FZ13" s="35">
        <f t="shared" si="218"/>
        <v>0.81468743141518285</v>
      </c>
      <c r="GA13" s="33">
        <f t="shared" si="219"/>
        <v>2.1310700637998226E-2</v>
      </c>
      <c r="GB13" s="34">
        <f t="shared" si="220"/>
        <v>274505.3621681009</v>
      </c>
      <c r="GC13" s="82">
        <f t="shared" si="221"/>
        <v>0</v>
      </c>
      <c r="GD13" s="78" t="s">
        <v>8</v>
      </c>
      <c r="GE13" s="30" t="s">
        <v>8</v>
      </c>
      <c r="GF13" s="35">
        <f t="shared" si="222"/>
        <v>0.81468743141518285</v>
      </c>
      <c r="GG13" s="33">
        <f t="shared" si="223"/>
        <v>2.1310700637998226E-2</v>
      </c>
      <c r="GH13" s="34">
        <f t="shared" si="224"/>
        <v>274505.3621681009</v>
      </c>
      <c r="GI13" s="132">
        <f t="shared" si="225"/>
        <v>0</v>
      </c>
      <c r="GJ13" s="155">
        <f t="shared" si="228"/>
        <v>1729019.1447987778</v>
      </c>
      <c r="GK13" s="101">
        <f t="shared" si="226"/>
        <v>2046418.8544534089</v>
      </c>
      <c r="GL13" s="88">
        <f t="shared" si="227"/>
        <v>0.81468743141518296</v>
      </c>
      <c r="GN13" s="195"/>
    </row>
    <row r="14" spans="1:196" s="25" customFormat="1" x14ac:dyDescent="0.3">
      <c r="A14" s="193" t="s">
        <v>186</v>
      </c>
      <c r="B14" s="144" t="s">
        <v>8</v>
      </c>
      <c r="C14" s="144" t="s">
        <v>8</v>
      </c>
      <c r="D14" s="144" t="s">
        <v>8</v>
      </c>
      <c r="E14" s="144" t="s">
        <v>8</v>
      </c>
      <c r="F14" s="144" t="s">
        <v>8</v>
      </c>
      <c r="G14" s="110">
        <f>'Исходные данные'!C16</f>
        <v>1708</v>
      </c>
      <c r="H14" s="31">
        <f>'Исходные данные'!D16</f>
        <v>2082358</v>
      </c>
      <c r="I14" s="32">
        <f>'Расчет КРП'!F12</f>
        <v>2.9460650037564591</v>
      </c>
      <c r="J14" s="117" t="s">
        <v>8</v>
      </c>
      <c r="K14" s="121">
        <f t="shared" si="104"/>
        <v>0.29873345908902416</v>
      </c>
      <c r="L14" s="79">
        <f t="shared" si="105"/>
        <v>259138.95989010989</v>
      </c>
      <c r="M14" s="75">
        <f t="shared" si="106"/>
        <v>0.33590933272492363</v>
      </c>
      <c r="N14" s="30" t="s">
        <v>8</v>
      </c>
      <c r="O14" s="33">
        <f t="shared" si="107"/>
        <v>0.15473947036393271</v>
      </c>
      <c r="P14" s="34">
        <f t="shared" si="108"/>
        <v>1196764.6803869947</v>
      </c>
      <c r="Q14" s="82">
        <f t="shared" si="109"/>
        <v>1196764.6803869947</v>
      </c>
      <c r="R14" s="148" t="s">
        <v>8</v>
      </c>
      <c r="S14" s="30" t="s">
        <v>8</v>
      </c>
      <c r="T14" s="35">
        <f t="shared" si="110"/>
        <v>0.50759626296822347</v>
      </c>
      <c r="U14" s="33">
        <f t="shared" si="111"/>
        <v>9.2133125796924231E-2</v>
      </c>
      <c r="V14" s="55">
        <f t="shared" si="112"/>
        <v>825279.05825478595</v>
      </c>
      <c r="W14" s="82">
        <f t="shared" si="113"/>
        <v>825279.05825478595</v>
      </c>
      <c r="X14" s="78" t="s">
        <v>8</v>
      </c>
      <c r="Y14" s="30" t="s">
        <v>8</v>
      </c>
      <c r="Z14" s="35">
        <f t="shared" si="114"/>
        <v>0.62599015478998721</v>
      </c>
      <c r="AA14" s="33">
        <f t="shared" si="115"/>
        <v>5.0285525792003072E-2</v>
      </c>
      <c r="AB14" s="55">
        <f t="shared" si="116"/>
        <v>496382.38469346263</v>
      </c>
      <c r="AC14" s="82">
        <f t="shared" si="117"/>
        <v>496382.38469346263</v>
      </c>
      <c r="AD14" s="78" t="s">
        <v>8</v>
      </c>
      <c r="AE14" s="30" t="s">
        <v>8</v>
      </c>
      <c r="AF14" s="35">
        <f t="shared" si="118"/>
        <v>0.6972007856278819</v>
      </c>
      <c r="AG14" s="33">
        <f t="shared" si="119"/>
        <v>3.6379190375711246E-2</v>
      </c>
      <c r="AH14" s="55">
        <f t="shared" si="120"/>
        <v>383674.23444282229</v>
      </c>
      <c r="AI14" s="82">
        <f t="shared" si="121"/>
        <v>383674.23444282229</v>
      </c>
      <c r="AJ14" s="78" t="s">
        <v>8</v>
      </c>
      <c r="AK14" s="30" t="s">
        <v>8</v>
      </c>
      <c r="AL14" s="35">
        <f t="shared" si="122"/>
        <v>0.75224239289158845</v>
      </c>
      <c r="AM14" s="33">
        <f t="shared" si="123"/>
        <v>3.1724171490384756E-2</v>
      </c>
      <c r="AN14" s="55">
        <f t="shared" si="124"/>
        <v>359788.45338271512</v>
      </c>
      <c r="AO14" s="82">
        <f t="shared" si="125"/>
        <v>359788.45338271512</v>
      </c>
      <c r="AP14" s="78" t="s">
        <v>8</v>
      </c>
      <c r="AQ14" s="30" t="s">
        <v>8</v>
      </c>
      <c r="AR14" s="35">
        <f t="shared" si="126"/>
        <v>0.80385736458200319</v>
      </c>
      <c r="AS14" s="33">
        <f t="shared" si="127"/>
        <v>2.4044782432077083E-2</v>
      </c>
      <c r="AT14" s="55">
        <f t="shared" si="128"/>
        <v>287046.34283607599</v>
      </c>
      <c r="AU14" s="82">
        <f t="shared" si="129"/>
        <v>63077.810692490551</v>
      </c>
      <c r="AV14" s="78" t="s">
        <v>8</v>
      </c>
      <c r="AW14" s="30" t="s">
        <v>8</v>
      </c>
      <c r="AX14" s="35">
        <f t="shared" si="130"/>
        <v>0.81290645824405872</v>
      </c>
      <c r="AY14" s="33">
        <f t="shared" si="131"/>
        <v>2.3091673809122359E-2</v>
      </c>
      <c r="AZ14" s="55">
        <f t="shared" si="132"/>
        <v>278490.74478166108</v>
      </c>
      <c r="BA14" s="82">
        <f t="shared" si="133"/>
        <v>0</v>
      </c>
      <c r="BB14" s="78" t="s">
        <v>8</v>
      </c>
      <c r="BC14" s="30" t="s">
        <v>8</v>
      </c>
      <c r="BD14" s="35">
        <f t="shared" si="134"/>
        <v>0.81290645824405872</v>
      </c>
      <c r="BE14" s="33">
        <f t="shared" si="135"/>
        <v>2.3091673809122359E-2</v>
      </c>
      <c r="BF14" s="55">
        <f t="shared" si="136"/>
        <v>278490.74478166108</v>
      </c>
      <c r="BG14" s="82">
        <f t="shared" si="137"/>
        <v>0</v>
      </c>
      <c r="BH14" s="78" t="s">
        <v>8</v>
      </c>
      <c r="BI14" s="30" t="s">
        <v>8</v>
      </c>
      <c r="BJ14" s="35">
        <f t="shared" si="138"/>
        <v>0.81290645824405872</v>
      </c>
      <c r="BK14" s="33">
        <f t="shared" si="139"/>
        <v>2.3091673809122359E-2</v>
      </c>
      <c r="BL14" s="55">
        <f t="shared" si="140"/>
        <v>278490.74478166108</v>
      </c>
      <c r="BM14" s="82">
        <f t="shared" si="141"/>
        <v>0</v>
      </c>
      <c r="BN14" s="78" t="s">
        <v>8</v>
      </c>
      <c r="BO14" s="30" t="s">
        <v>8</v>
      </c>
      <c r="BP14" s="35">
        <f t="shared" si="142"/>
        <v>0.81290645824405872</v>
      </c>
      <c r="BQ14" s="33">
        <f t="shared" si="143"/>
        <v>2.3091673809122359E-2</v>
      </c>
      <c r="BR14" s="55">
        <f t="shared" si="144"/>
        <v>278490.74478166108</v>
      </c>
      <c r="BS14" s="132">
        <f t="shared" si="145"/>
        <v>0</v>
      </c>
      <c r="BT14" s="78" t="s">
        <v>8</v>
      </c>
      <c r="BU14" s="30" t="s">
        <v>8</v>
      </c>
      <c r="BV14" s="35">
        <f t="shared" si="146"/>
        <v>0.81290645824405872</v>
      </c>
      <c r="BW14" s="33">
        <f t="shared" si="147"/>
        <v>2.3091673809122359E-2</v>
      </c>
      <c r="BX14" s="55">
        <f t="shared" si="148"/>
        <v>278490.74478166108</v>
      </c>
      <c r="BY14" s="132">
        <f t="shared" si="149"/>
        <v>0</v>
      </c>
      <c r="BZ14" s="78" t="s">
        <v>8</v>
      </c>
      <c r="CA14" s="30" t="s">
        <v>8</v>
      </c>
      <c r="CB14" s="35">
        <f t="shared" si="150"/>
        <v>0.81290645824405872</v>
      </c>
      <c r="CC14" s="33">
        <f t="shared" si="151"/>
        <v>2.3091673809122359E-2</v>
      </c>
      <c r="CD14" s="55">
        <f t="shared" si="152"/>
        <v>278490.74478166108</v>
      </c>
      <c r="CE14" s="132">
        <f t="shared" si="153"/>
        <v>0</v>
      </c>
      <c r="CF14" s="78" t="s">
        <v>8</v>
      </c>
      <c r="CG14" s="30" t="s">
        <v>8</v>
      </c>
      <c r="CH14" s="35">
        <f t="shared" si="154"/>
        <v>0.81290645824405872</v>
      </c>
      <c r="CI14" s="33">
        <f t="shared" si="155"/>
        <v>2.3091673809122359E-2</v>
      </c>
      <c r="CJ14" s="55">
        <f t="shared" si="156"/>
        <v>278490.74478166108</v>
      </c>
      <c r="CK14" s="132">
        <f t="shared" si="157"/>
        <v>0</v>
      </c>
      <c r="CL14" s="78" t="s">
        <v>8</v>
      </c>
      <c r="CM14" s="30" t="s">
        <v>8</v>
      </c>
      <c r="CN14" s="35">
        <f t="shared" si="158"/>
        <v>0.81290645824405872</v>
      </c>
      <c r="CO14" s="33">
        <f t="shared" si="159"/>
        <v>2.3091673809122359E-2</v>
      </c>
      <c r="CP14" s="55">
        <f t="shared" si="160"/>
        <v>278490.74478166108</v>
      </c>
      <c r="CQ14" s="132">
        <f t="shared" si="161"/>
        <v>0</v>
      </c>
      <c r="CR14" s="78" t="s">
        <v>8</v>
      </c>
      <c r="CS14" s="30" t="s">
        <v>8</v>
      </c>
      <c r="CT14" s="35">
        <f t="shared" si="162"/>
        <v>0.81290645824405872</v>
      </c>
      <c r="CU14" s="33">
        <f t="shared" si="163"/>
        <v>2.3091673809122359E-2</v>
      </c>
      <c r="CV14" s="55">
        <f t="shared" si="164"/>
        <v>278490.74478166108</v>
      </c>
      <c r="CW14" s="132">
        <f t="shared" si="165"/>
        <v>0</v>
      </c>
      <c r="CX14" s="78" t="s">
        <v>8</v>
      </c>
      <c r="CY14" s="30" t="s">
        <v>8</v>
      </c>
      <c r="CZ14" s="35">
        <f t="shared" si="166"/>
        <v>0.81290645824405872</v>
      </c>
      <c r="DA14" s="33">
        <f t="shared" si="167"/>
        <v>2.3091673809122359E-2</v>
      </c>
      <c r="DB14" s="55">
        <f t="shared" si="168"/>
        <v>278490.74478166108</v>
      </c>
      <c r="DC14" s="132">
        <f t="shared" si="169"/>
        <v>0</v>
      </c>
      <c r="DD14" s="78" t="s">
        <v>8</v>
      </c>
      <c r="DE14" s="30" t="s">
        <v>8</v>
      </c>
      <c r="DF14" s="35">
        <f t="shared" si="170"/>
        <v>0.81290645824405872</v>
      </c>
      <c r="DG14" s="33">
        <f t="shared" si="171"/>
        <v>2.3091673809122359E-2</v>
      </c>
      <c r="DH14" s="55">
        <f t="shared" si="172"/>
        <v>278490.74478166108</v>
      </c>
      <c r="DI14" s="132">
        <f t="shared" si="173"/>
        <v>0</v>
      </c>
      <c r="DJ14" s="78" t="s">
        <v>8</v>
      </c>
      <c r="DK14" s="30" t="s">
        <v>8</v>
      </c>
      <c r="DL14" s="35">
        <f t="shared" si="174"/>
        <v>0.81290645824405872</v>
      </c>
      <c r="DM14" s="33">
        <f t="shared" si="175"/>
        <v>2.3091673809122359E-2</v>
      </c>
      <c r="DN14" s="55">
        <f t="shared" si="176"/>
        <v>278490.74478166108</v>
      </c>
      <c r="DO14" s="132">
        <f t="shared" si="177"/>
        <v>0</v>
      </c>
      <c r="DP14" s="78" t="s">
        <v>8</v>
      </c>
      <c r="DQ14" s="30" t="s">
        <v>8</v>
      </c>
      <c r="DR14" s="35">
        <f t="shared" si="178"/>
        <v>0.81290645824405872</v>
      </c>
      <c r="DS14" s="33">
        <f t="shared" si="179"/>
        <v>2.3091673809122359E-2</v>
      </c>
      <c r="DT14" s="55">
        <f t="shared" si="180"/>
        <v>278490.74478166108</v>
      </c>
      <c r="DU14" s="132">
        <f t="shared" si="181"/>
        <v>0</v>
      </c>
      <c r="DV14" s="78" t="s">
        <v>8</v>
      </c>
      <c r="DW14" s="30" t="s">
        <v>8</v>
      </c>
      <c r="DX14" s="35">
        <f t="shared" si="182"/>
        <v>0.81290645824405872</v>
      </c>
      <c r="DY14" s="33">
        <f t="shared" si="183"/>
        <v>2.3091673809122359E-2</v>
      </c>
      <c r="DZ14" s="34">
        <f t="shared" si="184"/>
        <v>278490.74478166108</v>
      </c>
      <c r="EA14" s="82">
        <f t="shared" si="185"/>
        <v>0</v>
      </c>
      <c r="EB14" s="78" t="s">
        <v>8</v>
      </c>
      <c r="EC14" s="30" t="s">
        <v>8</v>
      </c>
      <c r="ED14" s="35">
        <f t="shared" si="186"/>
        <v>0.81290645824405872</v>
      </c>
      <c r="EE14" s="33">
        <f t="shared" si="187"/>
        <v>2.3091673809122359E-2</v>
      </c>
      <c r="EF14" s="34">
        <f t="shared" si="188"/>
        <v>278490.74478166108</v>
      </c>
      <c r="EG14" s="82">
        <f t="shared" si="189"/>
        <v>0</v>
      </c>
      <c r="EH14" s="78" t="s">
        <v>8</v>
      </c>
      <c r="EI14" s="30" t="s">
        <v>8</v>
      </c>
      <c r="EJ14" s="35">
        <f t="shared" si="190"/>
        <v>0.81290645824405872</v>
      </c>
      <c r="EK14" s="33">
        <f t="shared" si="191"/>
        <v>2.3091673809122359E-2</v>
      </c>
      <c r="EL14" s="34">
        <f t="shared" si="192"/>
        <v>278490.74478166108</v>
      </c>
      <c r="EM14" s="82">
        <f t="shared" si="193"/>
        <v>0</v>
      </c>
      <c r="EN14" s="78" t="s">
        <v>8</v>
      </c>
      <c r="EO14" s="30" t="s">
        <v>8</v>
      </c>
      <c r="EP14" s="35">
        <f t="shared" si="194"/>
        <v>0.81290645824405872</v>
      </c>
      <c r="EQ14" s="33">
        <f t="shared" si="195"/>
        <v>2.3091673809122359E-2</v>
      </c>
      <c r="ER14" s="34">
        <f t="shared" si="196"/>
        <v>278490.74478166108</v>
      </c>
      <c r="ES14" s="82">
        <f t="shared" si="197"/>
        <v>0</v>
      </c>
      <c r="ET14" s="78" t="s">
        <v>8</v>
      </c>
      <c r="EU14" s="30" t="s">
        <v>8</v>
      </c>
      <c r="EV14" s="35">
        <f t="shared" si="198"/>
        <v>0.81290645824405872</v>
      </c>
      <c r="EW14" s="33">
        <f t="shared" si="199"/>
        <v>2.3091673809122359E-2</v>
      </c>
      <c r="EX14" s="34">
        <f t="shared" si="200"/>
        <v>278490.74478166108</v>
      </c>
      <c r="EY14" s="82">
        <f t="shared" si="201"/>
        <v>0</v>
      </c>
      <c r="EZ14" s="78" t="s">
        <v>8</v>
      </c>
      <c r="FA14" s="30" t="s">
        <v>8</v>
      </c>
      <c r="FB14" s="35">
        <f t="shared" si="202"/>
        <v>0.81290645824405872</v>
      </c>
      <c r="FC14" s="33">
        <f t="shared" si="203"/>
        <v>2.3091673809122359E-2</v>
      </c>
      <c r="FD14" s="34">
        <f t="shared" si="204"/>
        <v>278490.74478166108</v>
      </c>
      <c r="FE14" s="82">
        <f t="shared" si="205"/>
        <v>0</v>
      </c>
      <c r="FF14" s="78" t="s">
        <v>8</v>
      </c>
      <c r="FG14" s="30" t="s">
        <v>8</v>
      </c>
      <c r="FH14" s="35">
        <f t="shared" si="206"/>
        <v>0.81290645824405872</v>
      </c>
      <c r="FI14" s="33">
        <f t="shared" si="207"/>
        <v>2.3091673809122359E-2</v>
      </c>
      <c r="FJ14" s="34">
        <f t="shared" si="208"/>
        <v>278490.74478166108</v>
      </c>
      <c r="FK14" s="82">
        <f t="shared" si="209"/>
        <v>0</v>
      </c>
      <c r="FL14" s="78" t="s">
        <v>8</v>
      </c>
      <c r="FM14" s="30" t="s">
        <v>8</v>
      </c>
      <c r="FN14" s="35">
        <f t="shared" si="210"/>
        <v>0.81290645824405872</v>
      </c>
      <c r="FO14" s="33">
        <f t="shared" si="211"/>
        <v>2.3091673809122359E-2</v>
      </c>
      <c r="FP14" s="34">
        <f t="shared" si="212"/>
        <v>278490.74478166108</v>
      </c>
      <c r="FQ14" s="82">
        <f t="shared" si="213"/>
        <v>0</v>
      </c>
      <c r="FR14" s="78" t="s">
        <v>8</v>
      </c>
      <c r="FS14" s="30" t="s">
        <v>8</v>
      </c>
      <c r="FT14" s="35">
        <f t="shared" si="214"/>
        <v>0.81290645824405872</v>
      </c>
      <c r="FU14" s="33">
        <f t="shared" si="215"/>
        <v>2.3091673809122359E-2</v>
      </c>
      <c r="FV14" s="34">
        <f t="shared" si="216"/>
        <v>278490.74478166108</v>
      </c>
      <c r="FW14" s="82">
        <f t="shared" si="217"/>
        <v>0</v>
      </c>
      <c r="FX14" s="78" t="s">
        <v>8</v>
      </c>
      <c r="FY14" s="30" t="s">
        <v>8</v>
      </c>
      <c r="FZ14" s="35">
        <f t="shared" si="218"/>
        <v>0.81290645824405872</v>
      </c>
      <c r="GA14" s="33">
        <f t="shared" si="219"/>
        <v>2.3091673809122359E-2</v>
      </c>
      <c r="GB14" s="34">
        <f t="shared" si="220"/>
        <v>278490.74478166108</v>
      </c>
      <c r="GC14" s="82">
        <f t="shared" si="221"/>
        <v>0</v>
      </c>
      <c r="GD14" s="78" t="s">
        <v>8</v>
      </c>
      <c r="GE14" s="30" t="s">
        <v>8</v>
      </c>
      <c r="GF14" s="35">
        <f t="shared" si="222"/>
        <v>0.81290645824405872</v>
      </c>
      <c r="GG14" s="33">
        <f t="shared" si="223"/>
        <v>2.3091673809122359E-2</v>
      </c>
      <c r="GH14" s="34">
        <f t="shared" si="224"/>
        <v>278490.74478166108</v>
      </c>
      <c r="GI14" s="132">
        <f t="shared" si="225"/>
        <v>0</v>
      </c>
      <c r="GJ14" s="155">
        <f t="shared" si="228"/>
        <v>3324966.621853271</v>
      </c>
      <c r="GK14" s="101">
        <f t="shared" si="226"/>
        <v>3584105.581743381</v>
      </c>
      <c r="GL14" s="88">
        <f t="shared" si="227"/>
        <v>0.81290645824405861</v>
      </c>
      <c r="GN14" s="195"/>
    </row>
    <row r="15" spans="1:196" s="25" customFormat="1" x14ac:dyDescent="0.3">
      <c r="A15" s="193" t="s">
        <v>187</v>
      </c>
      <c r="B15" s="144" t="s">
        <v>8</v>
      </c>
      <c r="C15" s="144" t="s">
        <v>8</v>
      </c>
      <c r="D15" s="144" t="s">
        <v>8</v>
      </c>
      <c r="E15" s="144" t="s">
        <v>8</v>
      </c>
      <c r="F15" s="144" t="s">
        <v>8</v>
      </c>
      <c r="G15" s="110">
        <f>'Исходные данные'!C17</f>
        <v>3275</v>
      </c>
      <c r="H15" s="31">
        <f>'Исходные данные'!D17</f>
        <v>3123241</v>
      </c>
      <c r="I15" s="32">
        <f>'Расчет КРП'!F13</f>
        <v>2.3318416217749292</v>
      </c>
      <c r="J15" s="117" t="s">
        <v>8</v>
      </c>
      <c r="K15" s="121">
        <f t="shared" si="104"/>
        <v>0.29522545895358576</v>
      </c>
      <c r="L15" s="79">
        <f t="shared" si="105"/>
        <v>496885.30072605965</v>
      </c>
      <c r="M15" s="75">
        <f t="shared" si="106"/>
        <v>0.34219371755231115</v>
      </c>
      <c r="N15" s="30" t="s">
        <v>8</v>
      </c>
      <c r="O15" s="33">
        <f t="shared" si="107"/>
        <v>0.14845508553654518</v>
      </c>
      <c r="P15" s="34">
        <f t="shared" si="108"/>
        <v>1742540.5764902651</v>
      </c>
      <c r="Q15" s="82">
        <f t="shared" si="109"/>
        <v>1742540.5764902651</v>
      </c>
      <c r="R15" s="148" t="s">
        <v>8</v>
      </c>
      <c r="S15" s="30" t="s">
        <v>8</v>
      </c>
      <c r="T15" s="35">
        <f t="shared" si="110"/>
        <v>0.50690798117768765</v>
      </c>
      <c r="U15" s="33">
        <f t="shared" si="111"/>
        <v>9.2821407587460047E-2</v>
      </c>
      <c r="V15" s="55">
        <f t="shared" si="112"/>
        <v>1261866.2704657475</v>
      </c>
      <c r="W15" s="82">
        <f t="shared" si="113"/>
        <v>1261866.2704657475</v>
      </c>
      <c r="X15" s="78" t="s">
        <v>8</v>
      </c>
      <c r="Y15" s="30" t="s">
        <v>8</v>
      </c>
      <c r="Z15" s="35">
        <f t="shared" si="114"/>
        <v>0.62618633620578179</v>
      </c>
      <c r="AA15" s="33">
        <f t="shared" si="115"/>
        <v>5.0089344376208489E-2</v>
      </c>
      <c r="AB15" s="55">
        <f t="shared" si="116"/>
        <v>750410.45390042639</v>
      </c>
      <c r="AC15" s="82">
        <f t="shared" si="117"/>
        <v>750410.45390042639</v>
      </c>
      <c r="AD15" s="78" t="s">
        <v>8</v>
      </c>
      <c r="AE15" s="30" t="s">
        <v>8</v>
      </c>
      <c r="AF15" s="35">
        <f t="shared" si="118"/>
        <v>0.69711914947773923</v>
      </c>
      <c r="AG15" s="33">
        <f t="shared" si="119"/>
        <v>3.6460826525853918E-2</v>
      </c>
      <c r="AH15" s="55">
        <f t="shared" si="120"/>
        <v>583601.33650355123</v>
      </c>
      <c r="AI15" s="82">
        <f t="shared" si="121"/>
        <v>583601.33650355123</v>
      </c>
      <c r="AJ15" s="78" t="s">
        <v>8</v>
      </c>
      <c r="AK15" s="30" t="s">
        <v>8</v>
      </c>
      <c r="AL15" s="35">
        <f t="shared" si="122"/>
        <v>0.75228427199476167</v>
      </c>
      <c r="AM15" s="33">
        <f t="shared" si="123"/>
        <v>3.1682292387211541E-2</v>
      </c>
      <c r="AN15" s="55">
        <f t="shared" si="124"/>
        <v>545322.84650853905</v>
      </c>
      <c r="AO15" s="82">
        <f t="shared" si="125"/>
        <v>545322.84650853905</v>
      </c>
      <c r="AP15" s="78" t="s">
        <v>8</v>
      </c>
      <c r="AQ15" s="30" t="s">
        <v>8</v>
      </c>
      <c r="AR15" s="35">
        <f t="shared" si="126"/>
        <v>0.80383110672136748</v>
      </c>
      <c r="AS15" s="33">
        <f t="shared" si="127"/>
        <v>2.4071040292712786E-2</v>
      </c>
      <c r="AT15" s="55">
        <f t="shared" si="128"/>
        <v>436120.18623051659</v>
      </c>
      <c r="AU15" s="82">
        <f t="shared" si="129"/>
        <v>95836.464155657784</v>
      </c>
      <c r="AV15" s="78" t="s">
        <v>8</v>
      </c>
      <c r="AW15" s="30" t="s">
        <v>8</v>
      </c>
      <c r="AX15" s="35">
        <f t="shared" si="130"/>
        <v>0.81289008235432147</v>
      </c>
      <c r="AY15" s="33">
        <f t="shared" si="131"/>
        <v>2.3108049698859601E-2</v>
      </c>
      <c r="AZ15" s="55">
        <f t="shared" si="132"/>
        <v>422959.52356903435</v>
      </c>
      <c r="BA15" s="82">
        <f t="shared" si="133"/>
        <v>0</v>
      </c>
      <c r="BB15" s="78" t="s">
        <v>8</v>
      </c>
      <c r="BC15" s="30" t="s">
        <v>8</v>
      </c>
      <c r="BD15" s="35">
        <f t="shared" si="134"/>
        <v>0.81289008235432147</v>
      </c>
      <c r="BE15" s="33">
        <f t="shared" si="135"/>
        <v>2.3108049698859601E-2</v>
      </c>
      <c r="BF15" s="55">
        <f t="shared" si="136"/>
        <v>422959.52356903435</v>
      </c>
      <c r="BG15" s="82">
        <f t="shared" si="137"/>
        <v>0</v>
      </c>
      <c r="BH15" s="78" t="s">
        <v>8</v>
      </c>
      <c r="BI15" s="30" t="s">
        <v>8</v>
      </c>
      <c r="BJ15" s="35">
        <f t="shared" si="138"/>
        <v>0.81289008235432147</v>
      </c>
      <c r="BK15" s="33">
        <f t="shared" si="139"/>
        <v>2.3108049698859601E-2</v>
      </c>
      <c r="BL15" s="55">
        <f t="shared" si="140"/>
        <v>422959.52356903435</v>
      </c>
      <c r="BM15" s="82">
        <f t="shared" si="141"/>
        <v>0</v>
      </c>
      <c r="BN15" s="78" t="s">
        <v>8</v>
      </c>
      <c r="BO15" s="30" t="s">
        <v>8</v>
      </c>
      <c r="BP15" s="35">
        <f t="shared" si="142"/>
        <v>0.81289008235432147</v>
      </c>
      <c r="BQ15" s="33">
        <f t="shared" si="143"/>
        <v>2.3108049698859601E-2</v>
      </c>
      <c r="BR15" s="55">
        <f t="shared" si="144"/>
        <v>422959.52356903435</v>
      </c>
      <c r="BS15" s="132">
        <f t="shared" si="145"/>
        <v>0</v>
      </c>
      <c r="BT15" s="78" t="s">
        <v>8</v>
      </c>
      <c r="BU15" s="30" t="s">
        <v>8</v>
      </c>
      <c r="BV15" s="35">
        <f t="shared" si="146"/>
        <v>0.81289008235432147</v>
      </c>
      <c r="BW15" s="33">
        <f t="shared" si="147"/>
        <v>2.3108049698859601E-2</v>
      </c>
      <c r="BX15" s="55">
        <f t="shared" si="148"/>
        <v>422959.52356903435</v>
      </c>
      <c r="BY15" s="132">
        <f t="shared" si="149"/>
        <v>0</v>
      </c>
      <c r="BZ15" s="78" t="s">
        <v>8</v>
      </c>
      <c r="CA15" s="30" t="s">
        <v>8</v>
      </c>
      <c r="CB15" s="35">
        <f t="shared" si="150"/>
        <v>0.81289008235432147</v>
      </c>
      <c r="CC15" s="33">
        <f t="shared" si="151"/>
        <v>2.3108049698859601E-2</v>
      </c>
      <c r="CD15" s="55">
        <f t="shared" si="152"/>
        <v>422959.52356903435</v>
      </c>
      <c r="CE15" s="132">
        <f t="shared" si="153"/>
        <v>0</v>
      </c>
      <c r="CF15" s="78" t="s">
        <v>8</v>
      </c>
      <c r="CG15" s="30" t="s">
        <v>8</v>
      </c>
      <c r="CH15" s="35">
        <f t="shared" si="154"/>
        <v>0.81289008235432147</v>
      </c>
      <c r="CI15" s="33">
        <f t="shared" si="155"/>
        <v>2.3108049698859601E-2</v>
      </c>
      <c r="CJ15" s="55">
        <f t="shared" si="156"/>
        <v>422959.52356903435</v>
      </c>
      <c r="CK15" s="132">
        <f t="shared" si="157"/>
        <v>0</v>
      </c>
      <c r="CL15" s="78" t="s">
        <v>8</v>
      </c>
      <c r="CM15" s="30" t="s">
        <v>8</v>
      </c>
      <c r="CN15" s="35">
        <f t="shared" si="158"/>
        <v>0.81289008235432147</v>
      </c>
      <c r="CO15" s="33">
        <f t="shared" si="159"/>
        <v>2.3108049698859601E-2</v>
      </c>
      <c r="CP15" s="55">
        <f t="shared" si="160"/>
        <v>422959.52356903435</v>
      </c>
      <c r="CQ15" s="132">
        <f t="shared" si="161"/>
        <v>0</v>
      </c>
      <c r="CR15" s="78" t="s">
        <v>8</v>
      </c>
      <c r="CS15" s="30" t="s">
        <v>8</v>
      </c>
      <c r="CT15" s="35">
        <f t="shared" si="162"/>
        <v>0.81289008235432147</v>
      </c>
      <c r="CU15" s="33">
        <f t="shared" si="163"/>
        <v>2.3108049698859601E-2</v>
      </c>
      <c r="CV15" s="55">
        <f t="shared" si="164"/>
        <v>422959.52356903435</v>
      </c>
      <c r="CW15" s="132">
        <f t="shared" si="165"/>
        <v>0</v>
      </c>
      <c r="CX15" s="78" t="s">
        <v>8</v>
      </c>
      <c r="CY15" s="30" t="s">
        <v>8</v>
      </c>
      <c r="CZ15" s="35">
        <f t="shared" si="166"/>
        <v>0.81289008235432147</v>
      </c>
      <c r="DA15" s="33">
        <f t="shared" si="167"/>
        <v>2.3108049698859601E-2</v>
      </c>
      <c r="DB15" s="55">
        <f t="shared" si="168"/>
        <v>422959.52356903435</v>
      </c>
      <c r="DC15" s="132">
        <f t="shared" si="169"/>
        <v>0</v>
      </c>
      <c r="DD15" s="78" t="s">
        <v>8</v>
      </c>
      <c r="DE15" s="30" t="s">
        <v>8</v>
      </c>
      <c r="DF15" s="35">
        <f t="shared" si="170"/>
        <v>0.81289008235432147</v>
      </c>
      <c r="DG15" s="33">
        <f t="shared" si="171"/>
        <v>2.3108049698859601E-2</v>
      </c>
      <c r="DH15" s="55">
        <f t="shared" si="172"/>
        <v>422959.52356903435</v>
      </c>
      <c r="DI15" s="132">
        <f t="shared" si="173"/>
        <v>0</v>
      </c>
      <c r="DJ15" s="78" t="s">
        <v>8</v>
      </c>
      <c r="DK15" s="30" t="s">
        <v>8</v>
      </c>
      <c r="DL15" s="35">
        <f t="shared" si="174"/>
        <v>0.81289008235432147</v>
      </c>
      <c r="DM15" s="33">
        <f t="shared" si="175"/>
        <v>2.3108049698859601E-2</v>
      </c>
      <c r="DN15" s="55">
        <f t="shared" si="176"/>
        <v>422959.52356903435</v>
      </c>
      <c r="DO15" s="132">
        <f t="shared" si="177"/>
        <v>0</v>
      </c>
      <c r="DP15" s="78" t="s">
        <v>8</v>
      </c>
      <c r="DQ15" s="30" t="s">
        <v>8</v>
      </c>
      <c r="DR15" s="35">
        <f t="shared" si="178"/>
        <v>0.81289008235432147</v>
      </c>
      <c r="DS15" s="33">
        <f t="shared" si="179"/>
        <v>2.3108049698859601E-2</v>
      </c>
      <c r="DT15" s="55">
        <f t="shared" si="180"/>
        <v>422959.52356903435</v>
      </c>
      <c r="DU15" s="132">
        <f t="shared" si="181"/>
        <v>0</v>
      </c>
      <c r="DV15" s="78" t="s">
        <v>8</v>
      </c>
      <c r="DW15" s="30" t="s">
        <v>8</v>
      </c>
      <c r="DX15" s="35">
        <f t="shared" si="182"/>
        <v>0.81289008235432147</v>
      </c>
      <c r="DY15" s="33">
        <f t="shared" si="183"/>
        <v>2.3108049698859601E-2</v>
      </c>
      <c r="DZ15" s="34">
        <f t="shared" si="184"/>
        <v>422959.52356903435</v>
      </c>
      <c r="EA15" s="82">
        <f t="shared" si="185"/>
        <v>0</v>
      </c>
      <c r="EB15" s="78" t="s">
        <v>8</v>
      </c>
      <c r="EC15" s="30" t="s">
        <v>8</v>
      </c>
      <c r="ED15" s="35">
        <f t="shared" si="186"/>
        <v>0.81289008235432147</v>
      </c>
      <c r="EE15" s="33">
        <f t="shared" si="187"/>
        <v>2.3108049698859601E-2</v>
      </c>
      <c r="EF15" s="34">
        <f t="shared" si="188"/>
        <v>422959.52356903435</v>
      </c>
      <c r="EG15" s="82">
        <f t="shared" si="189"/>
        <v>0</v>
      </c>
      <c r="EH15" s="78" t="s">
        <v>8</v>
      </c>
      <c r="EI15" s="30" t="s">
        <v>8</v>
      </c>
      <c r="EJ15" s="35">
        <f t="shared" si="190"/>
        <v>0.81289008235432147</v>
      </c>
      <c r="EK15" s="33">
        <f t="shared" si="191"/>
        <v>2.3108049698859601E-2</v>
      </c>
      <c r="EL15" s="34">
        <f t="shared" si="192"/>
        <v>422959.52356903435</v>
      </c>
      <c r="EM15" s="82">
        <f t="shared" si="193"/>
        <v>0</v>
      </c>
      <c r="EN15" s="78" t="s">
        <v>8</v>
      </c>
      <c r="EO15" s="30" t="s">
        <v>8</v>
      </c>
      <c r="EP15" s="35">
        <f t="shared" si="194"/>
        <v>0.81289008235432147</v>
      </c>
      <c r="EQ15" s="33">
        <f t="shared" si="195"/>
        <v>2.3108049698859601E-2</v>
      </c>
      <c r="ER15" s="34">
        <f t="shared" si="196"/>
        <v>422959.52356903435</v>
      </c>
      <c r="ES15" s="82">
        <f t="shared" si="197"/>
        <v>0</v>
      </c>
      <c r="ET15" s="78" t="s">
        <v>8</v>
      </c>
      <c r="EU15" s="30" t="s">
        <v>8</v>
      </c>
      <c r="EV15" s="35">
        <f t="shared" si="198"/>
        <v>0.81289008235432147</v>
      </c>
      <c r="EW15" s="33">
        <f t="shared" si="199"/>
        <v>2.3108049698859601E-2</v>
      </c>
      <c r="EX15" s="34">
        <f t="shared" si="200"/>
        <v>422959.52356903435</v>
      </c>
      <c r="EY15" s="82">
        <f t="shared" si="201"/>
        <v>0</v>
      </c>
      <c r="EZ15" s="78" t="s">
        <v>8</v>
      </c>
      <c r="FA15" s="30" t="s">
        <v>8</v>
      </c>
      <c r="FB15" s="35">
        <f t="shared" si="202"/>
        <v>0.81289008235432147</v>
      </c>
      <c r="FC15" s="33">
        <f t="shared" si="203"/>
        <v>2.3108049698859601E-2</v>
      </c>
      <c r="FD15" s="34">
        <f t="shared" si="204"/>
        <v>422959.52356903435</v>
      </c>
      <c r="FE15" s="82">
        <f t="shared" si="205"/>
        <v>0</v>
      </c>
      <c r="FF15" s="78" t="s">
        <v>8</v>
      </c>
      <c r="FG15" s="30" t="s">
        <v>8</v>
      </c>
      <c r="FH15" s="35">
        <f t="shared" si="206"/>
        <v>0.81289008235432147</v>
      </c>
      <c r="FI15" s="33">
        <f t="shared" si="207"/>
        <v>2.3108049698859601E-2</v>
      </c>
      <c r="FJ15" s="34">
        <f t="shared" si="208"/>
        <v>422959.52356903435</v>
      </c>
      <c r="FK15" s="82">
        <f t="shared" si="209"/>
        <v>0</v>
      </c>
      <c r="FL15" s="78" t="s">
        <v>8</v>
      </c>
      <c r="FM15" s="30" t="s">
        <v>8</v>
      </c>
      <c r="FN15" s="35">
        <f t="shared" si="210"/>
        <v>0.81289008235432147</v>
      </c>
      <c r="FO15" s="33">
        <f t="shared" si="211"/>
        <v>2.3108049698859601E-2</v>
      </c>
      <c r="FP15" s="34">
        <f t="shared" si="212"/>
        <v>422959.52356903435</v>
      </c>
      <c r="FQ15" s="82">
        <f t="shared" si="213"/>
        <v>0</v>
      </c>
      <c r="FR15" s="78" t="s">
        <v>8</v>
      </c>
      <c r="FS15" s="30" t="s">
        <v>8</v>
      </c>
      <c r="FT15" s="35">
        <f t="shared" si="214"/>
        <v>0.81289008235432147</v>
      </c>
      <c r="FU15" s="33">
        <f t="shared" si="215"/>
        <v>2.3108049698859601E-2</v>
      </c>
      <c r="FV15" s="34">
        <f t="shared" si="216"/>
        <v>422959.52356903435</v>
      </c>
      <c r="FW15" s="82">
        <f t="shared" si="217"/>
        <v>0</v>
      </c>
      <c r="FX15" s="78" t="s">
        <v>8</v>
      </c>
      <c r="FY15" s="30" t="s">
        <v>8</v>
      </c>
      <c r="FZ15" s="35">
        <f t="shared" si="218"/>
        <v>0.81289008235432147</v>
      </c>
      <c r="GA15" s="33">
        <f t="shared" si="219"/>
        <v>2.3108049698859601E-2</v>
      </c>
      <c r="GB15" s="34">
        <f t="shared" si="220"/>
        <v>422959.52356903435</v>
      </c>
      <c r="GC15" s="82">
        <f t="shared" si="221"/>
        <v>0</v>
      </c>
      <c r="GD15" s="78" t="s">
        <v>8</v>
      </c>
      <c r="GE15" s="30" t="s">
        <v>8</v>
      </c>
      <c r="GF15" s="35">
        <f t="shared" si="222"/>
        <v>0.81289008235432147</v>
      </c>
      <c r="GG15" s="33">
        <f t="shared" si="223"/>
        <v>2.3108049698859601E-2</v>
      </c>
      <c r="GH15" s="34">
        <f t="shared" si="224"/>
        <v>422959.52356903435</v>
      </c>
      <c r="GI15" s="132">
        <f t="shared" si="225"/>
        <v>0</v>
      </c>
      <c r="GJ15" s="155">
        <f t="shared" si="228"/>
        <v>4979577.9480241882</v>
      </c>
      <c r="GK15" s="101">
        <f t="shared" si="226"/>
        <v>5476463.248750248</v>
      </c>
      <c r="GL15" s="88">
        <f t="shared" si="227"/>
        <v>0.81289008235432159</v>
      </c>
      <c r="GN15" s="195"/>
    </row>
    <row r="16" spans="1:196" s="25" customFormat="1" ht="31.8" thickBot="1" x14ac:dyDescent="0.35">
      <c r="A16" s="193" t="s">
        <v>188</v>
      </c>
      <c r="B16" s="144" t="s">
        <v>8</v>
      </c>
      <c r="C16" s="144" t="s">
        <v>8</v>
      </c>
      <c r="D16" s="144" t="s">
        <v>8</v>
      </c>
      <c r="E16" s="144" t="s">
        <v>8</v>
      </c>
      <c r="F16" s="144" t="s">
        <v>8</v>
      </c>
      <c r="G16" s="110">
        <f>'Исходные данные'!C18</f>
        <v>2411</v>
      </c>
      <c r="H16" s="31">
        <f>'Исходные данные'!D18</f>
        <v>2137750</v>
      </c>
      <c r="I16" s="32">
        <f>'Расчет КРП'!F14</f>
        <v>2.6443275528496386</v>
      </c>
      <c r="J16" s="117" t="s">
        <v>8</v>
      </c>
      <c r="K16" s="121">
        <f t="shared" si="104"/>
        <v>0.24204890260841827</v>
      </c>
      <c r="L16" s="79">
        <f t="shared" si="105"/>
        <v>365798.61375588697</v>
      </c>
      <c r="M16" s="75">
        <f t="shared" si="106"/>
        <v>0.28346682006148483</v>
      </c>
      <c r="N16" s="30" t="s">
        <v>8</v>
      </c>
      <c r="O16" s="33">
        <f t="shared" si="107"/>
        <v>0.20718198302737151</v>
      </c>
      <c r="P16" s="34">
        <f t="shared" si="108"/>
        <v>2030214.438970746</v>
      </c>
      <c r="Q16" s="82">
        <f t="shared" si="109"/>
        <v>2030214.438970746</v>
      </c>
      <c r="R16" s="148" t="s">
        <v>8</v>
      </c>
      <c r="S16" s="30" t="s">
        <v>8</v>
      </c>
      <c r="T16" s="35">
        <f t="shared" si="110"/>
        <v>0.51333990017498476</v>
      </c>
      <c r="U16" s="33">
        <f t="shared" si="111"/>
        <v>8.6389488590162933E-2</v>
      </c>
      <c r="V16" s="55">
        <f t="shared" si="112"/>
        <v>980456.18680228095</v>
      </c>
      <c r="W16" s="82">
        <f t="shared" si="113"/>
        <v>980456.18680228095</v>
      </c>
      <c r="X16" s="78" t="s">
        <v>8</v>
      </c>
      <c r="Y16" s="30" t="s">
        <v>8</v>
      </c>
      <c r="Z16" s="35">
        <f t="shared" si="114"/>
        <v>0.62435304206301023</v>
      </c>
      <c r="AA16" s="33">
        <f t="shared" si="115"/>
        <v>5.1922638518980047E-2</v>
      </c>
      <c r="AB16" s="55">
        <f t="shared" si="116"/>
        <v>649400.15551859408</v>
      </c>
      <c r="AC16" s="82">
        <f t="shared" si="117"/>
        <v>649400.15551859408</v>
      </c>
      <c r="AD16" s="78" t="s">
        <v>8</v>
      </c>
      <c r="AE16" s="30" t="s">
        <v>8</v>
      </c>
      <c r="AF16" s="35">
        <f t="shared" si="118"/>
        <v>0.69788203048401931</v>
      </c>
      <c r="AG16" s="33">
        <f t="shared" si="119"/>
        <v>3.5697945519573837E-2</v>
      </c>
      <c r="AH16" s="55">
        <f t="shared" si="120"/>
        <v>477018.3624295129</v>
      </c>
      <c r="AI16" s="82">
        <f t="shared" si="121"/>
        <v>477018.3624295129</v>
      </c>
      <c r="AJ16" s="78" t="s">
        <v>8</v>
      </c>
      <c r="AK16" s="30" t="s">
        <v>8</v>
      </c>
      <c r="AL16" s="35">
        <f t="shared" si="122"/>
        <v>0.75189291629860389</v>
      </c>
      <c r="AM16" s="33">
        <f t="shared" si="123"/>
        <v>3.2073648083369322E-2</v>
      </c>
      <c r="AN16" s="55">
        <f t="shared" si="124"/>
        <v>460879.68084835843</v>
      </c>
      <c r="AO16" s="82">
        <f t="shared" si="125"/>
        <v>460879.68084835843</v>
      </c>
      <c r="AP16" s="78" t="s">
        <v>8</v>
      </c>
      <c r="AQ16" s="30" t="s">
        <v>8</v>
      </c>
      <c r="AR16" s="35">
        <f t="shared" si="126"/>
        <v>0.80407648359312522</v>
      </c>
      <c r="AS16" s="33">
        <f t="shared" si="127"/>
        <v>2.3825663420955046E-2</v>
      </c>
      <c r="AT16" s="55">
        <f t="shared" si="128"/>
        <v>360378.13854708138</v>
      </c>
      <c r="AU16" s="82">
        <f t="shared" si="129"/>
        <v>79192.313604798153</v>
      </c>
      <c r="AV16" s="78" t="s">
        <v>8</v>
      </c>
      <c r="AW16" s="30" t="s">
        <v>8</v>
      </c>
      <c r="AX16" s="35">
        <f t="shared" si="130"/>
        <v>0.81304311327529732</v>
      </c>
      <c r="AY16" s="33">
        <f t="shared" si="131"/>
        <v>2.2955018777883751E-2</v>
      </c>
      <c r="AZ16" s="55">
        <f t="shared" si="132"/>
        <v>350764.21001131303</v>
      </c>
      <c r="BA16" s="82">
        <f t="shared" si="133"/>
        <v>0</v>
      </c>
      <c r="BB16" s="78" t="s">
        <v>8</v>
      </c>
      <c r="BC16" s="30" t="s">
        <v>8</v>
      </c>
      <c r="BD16" s="35">
        <f t="shared" si="134"/>
        <v>0.81304311327529732</v>
      </c>
      <c r="BE16" s="33">
        <f t="shared" si="135"/>
        <v>2.2955018777883751E-2</v>
      </c>
      <c r="BF16" s="55">
        <f t="shared" si="136"/>
        <v>350764.21001131303</v>
      </c>
      <c r="BG16" s="82">
        <f t="shared" si="137"/>
        <v>0</v>
      </c>
      <c r="BH16" s="78" t="s">
        <v>8</v>
      </c>
      <c r="BI16" s="30" t="s">
        <v>8</v>
      </c>
      <c r="BJ16" s="35">
        <f t="shared" si="138"/>
        <v>0.81304311327529732</v>
      </c>
      <c r="BK16" s="33">
        <f t="shared" si="139"/>
        <v>2.2955018777883751E-2</v>
      </c>
      <c r="BL16" s="55">
        <f t="shared" si="140"/>
        <v>350764.21001131303</v>
      </c>
      <c r="BM16" s="82">
        <f t="shared" si="141"/>
        <v>0</v>
      </c>
      <c r="BN16" s="78" t="s">
        <v>8</v>
      </c>
      <c r="BO16" s="30" t="s">
        <v>8</v>
      </c>
      <c r="BP16" s="35">
        <f t="shared" si="142"/>
        <v>0.81304311327529732</v>
      </c>
      <c r="BQ16" s="33">
        <f t="shared" si="143"/>
        <v>2.2955018777883751E-2</v>
      </c>
      <c r="BR16" s="55">
        <f t="shared" si="144"/>
        <v>350764.21001131303</v>
      </c>
      <c r="BS16" s="132">
        <f t="shared" si="145"/>
        <v>0</v>
      </c>
      <c r="BT16" s="78" t="s">
        <v>8</v>
      </c>
      <c r="BU16" s="30" t="s">
        <v>8</v>
      </c>
      <c r="BV16" s="35">
        <f t="shared" si="146"/>
        <v>0.81304311327529732</v>
      </c>
      <c r="BW16" s="33">
        <f t="shared" si="147"/>
        <v>2.2955018777883751E-2</v>
      </c>
      <c r="BX16" s="55">
        <f t="shared" si="148"/>
        <v>350764.21001131303</v>
      </c>
      <c r="BY16" s="132">
        <f t="shared" si="149"/>
        <v>0</v>
      </c>
      <c r="BZ16" s="78" t="s">
        <v>8</v>
      </c>
      <c r="CA16" s="30" t="s">
        <v>8</v>
      </c>
      <c r="CB16" s="35">
        <f t="shared" si="150"/>
        <v>0.81304311327529732</v>
      </c>
      <c r="CC16" s="33">
        <f t="shared" si="151"/>
        <v>2.2955018777883751E-2</v>
      </c>
      <c r="CD16" s="55">
        <f t="shared" si="152"/>
        <v>350764.21001131303</v>
      </c>
      <c r="CE16" s="132">
        <f t="shared" si="153"/>
        <v>0</v>
      </c>
      <c r="CF16" s="78" t="s">
        <v>8</v>
      </c>
      <c r="CG16" s="30" t="s">
        <v>8</v>
      </c>
      <c r="CH16" s="35">
        <f t="shared" si="154"/>
        <v>0.81304311327529732</v>
      </c>
      <c r="CI16" s="33">
        <f t="shared" si="155"/>
        <v>2.2955018777883751E-2</v>
      </c>
      <c r="CJ16" s="55">
        <f t="shared" si="156"/>
        <v>350764.21001131303</v>
      </c>
      <c r="CK16" s="132">
        <f t="shared" si="157"/>
        <v>0</v>
      </c>
      <c r="CL16" s="78" t="s">
        <v>8</v>
      </c>
      <c r="CM16" s="30" t="s">
        <v>8</v>
      </c>
      <c r="CN16" s="35">
        <f t="shared" si="158"/>
        <v>0.81304311327529732</v>
      </c>
      <c r="CO16" s="33">
        <f t="shared" si="159"/>
        <v>2.2955018777883751E-2</v>
      </c>
      <c r="CP16" s="55">
        <f t="shared" si="160"/>
        <v>350764.21001131303</v>
      </c>
      <c r="CQ16" s="132">
        <f t="shared" si="161"/>
        <v>0</v>
      </c>
      <c r="CR16" s="78" t="s">
        <v>8</v>
      </c>
      <c r="CS16" s="30" t="s">
        <v>8</v>
      </c>
      <c r="CT16" s="35">
        <f t="shared" si="162"/>
        <v>0.81304311327529732</v>
      </c>
      <c r="CU16" s="33">
        <f t="shared" si="163"/>
        <v>2.2955018777883751E-2</v>
      </c>
      <c r="CV16" s="55">
        <f t="shared" si="164"/>
        <v>350764.21001131303</v>
      </c>
      <c r="CW16" s="132">
        <f t="shared" si="165"/>
        <v>0</v>
      </c>
      <c r="CX16" s="78" t="s">
        <v>8</v>
      </c>
      <c r="CY16" s="30" t="s">
        <v>8</v>
      </c>
      <c r="CZ16" s="35">
        <f t="shared" si="166"/>
        <v>0.81304311327529732</v>
      </c>
      <c r="DA16" s="33">
        <f t="shared" si="167"/>
        <v>2.2955018777883751E-2</v>
      </c>
      <c r="DB16" s="55">
        <f t="shared" si="168"/>
        <v>350764.21001131303</v>
      </c>
      <c r="DC16" s="132">
        <f t="shared" si="169"/>
        <v>0</v>
      </c>
      <c r="DD16" s="78" t="s">
        <v>8</v>
      </c>
      <c r="DE16" s="30" t="s">
        <v>8</v>
      </c>
      <c r="DF16" s="35">
        <f t="shared" si="170"/>
        <v>0.81304311327529732</v>
      </c>
      <c r="DG16" s="33">
        <f t="shared" si="171"/>
        <v>2.2955018777883751E-2</v>
      </c>
      <c r="DH16" s="55">
        <f t="shared" si="172"/>
        <v>350764.21001131303</v>
      </c>
      <c r="DI16" s="132">
        <f t="shared" si="173"/>
        <v>0</v>
      </c>
      <c r="DJ16" s="78" t="s">
        <v>8</v>
      </c>
      <c r="DK16" s="30" t="s">
        <v>8</v>
      </c>
      <c r="DL16" s="35">
        <f t="shared" si="174"/>
        <v>0.81304311327529732</v>
      </c>
      <c r="DM16" s="33">
        <f t="shared" si="175"/>
        <v>2.2955018777883751E-2</v>
      </c>
      <c r="DN16" s="55">
        <f t="shared" si="176"/>
        <v>350764.21001131303</v>
      </c>
      <c r="DO16" s="132">
        <f t="shared" si="177"/>
        <v>0</v>
      </c>
      <c r="DP16" s="78" t="s">
        <v>8</v>
      </c>
      <c r="DQ16" s="30" t="s">
        <v>8</v>
      </c>
      <c r="DR16" s="35">
        <f t="shared" si="178"/>
        <v>0.81304311327529732</v>
      </c>
      <c r="DS16" s="33">
        <f t="shared" si="179"/>
        <v>2.2955018777883751E-2</v>
      </c>
      <c r="DT16" s="55">
        <f t="shared" si="180"/>
        <v>350764.21001131303</v>
      </c>
      <c r="DU16" s="132">
        <f t="shared" si="181"/>
        <v>0</v>
      </c>
      <c r="DV16" s="78" t="s">
        <v>8</v>
      </c>
      <c r="DW16" s="30" t="s">
        <v>8</v>
      </c>
      <c r="DX16" s="35">
        <f t="shared" si="182"/>
        <v>0.81304311327529732</v>
      </c>
      <c r="DY16" s="33">
        <f t="shared" si="183"/>
        <v>2.2955018777883751E-2</v>
      </c>
      <c r="DZ16" s="34">
        <f t="shared" si="184"/>
        <v>350764.21001131303</v>
      </c>
      <c r="EA16" s="82">
        <f t="shared" si="185"/>
        <v>0</v>
      </c>
      <c r="EB16" s="78" t="s">
        <v>8</v>
      </c>
      <c r="EC16" s="30" t="s">
        <v>8</v>
      </c>
      <c r="ED16" s="35">
        <f t="shared" si="186"/>
        <v>0.81304311327529732</v>
      </c>
      <c r="EE16" s="33">
        <f t="shared" si="187"/>
        <v>2.2955018777883751E-2</v>
      </c>
      <c r="EF16" s="34">
        <f t="shared" si="188"/>
        <v>350764.21001131303</v>
      </c>
      <c r="EG16" s="82">
        <f t="shared" si="189"/>
        <v>0</v>
      </c>
      <c r="EH16" s="78" t="s">
        <v>8</v>
      </c>
      <c r="EI16" s="30" t="s">
        <v>8</v>
      </c>
      <c r="EJ16" s="35">
        <f t="shared" si="190"/>
        <v>0.81304311327529732</v>
      </c>
      <c r="EK16" s="33">
        <f t="shared" si="191"/>
        <v>2.2955018777883751E-2</v>
      </c>
      <c r="EL16" s="34">
        <f t="shared" si="192"/>
        <v>350764.21001131303</v>
      </c>
      <c r="EM16" s="82">
        <f t="shared" si="193"/>
        <v>0</v>
      </c>
      <c r="EN16" s="78" t="s">
        <v>8</v>
      </c>
      <c r="EO16" s="30" t="s">
        <v>8</v>
      </c>
      <c r="EP16" s="35">
        <f t="shared" si="194"/>
        <v>0.81304311327529732</v>
      </c>
      <c r="EQ16" s="33">
        <f t="shared" si="195"/>
        <v>2.2955018777883751E-2</v>
      </c>
      <c r="ER16" s="34">
        <f t="shared" si="196"/>
        <v>350764.21001131303</v>
      </c>
      <c r="ES16" s="82">
        <f t="shared" si="197"/>
        <v>0</v>
      </c>
      <c r="ET16" s="78" t="s">
        <v>8</v>
      </c>
      <c r="EU16" s="30" t="s">
        <v>8</v>
      </c>
      <c r="EV16" s="35">
        <f t="shared" si="198"/>
        <v>0.81304311327529732</v>
      </c>
      <c r="EW16" s="33">
        <f t="shared" si="199"/>
        <v>2.2955018777883751E-2</v>
      </c>
      <c r="EX16" s="34">
        <f t="shared" si="200"/>
        <v>350764.21001131303</v>
      </c>
      <c r="EY16" s="82">
        <f t="shared" si="201"/>
        <v>0</v>
      </c>
      <c r="EZ16" s="78" t="s">
        <v>8</v>
      </c>
      <c r="FA16" s="30" t="s">
        <v>8</v>
      </c>
      <c r="FB16" s="35">
        <f t="shared" si="202"/>
        <v>0.81304311327529732</v>
      </c>
      <c r="FC16" s="33">
        <f t="shared" si="203"/>
        <v>2.2955018777883751E-2</v>
      </c>
      <c r="FD16" s="34">
        <f t="shared" si="204"/>
        <v>350764.21001131303</v>
      </c>
      <c r="FE16" s="82">
        <f t="shared" si="205"/>
        <v>0</v>
      </c>
      <c r="FF16" s="78" t="s">
        <v>8</v>
      </c>
      <c r="FG16" s="30" t="s">
        <v>8</v>
      </c>
      <c r="FH16" s="35">
        <f t="shared" si="206"/>
        <v>0.81304311327529732</v>
      </c>
      <c r="FI16" s="33">
        <f t="shared" si="207"/>
        <v>2.2955018777883751E-2</v>
      </c>
      <c r="FJ16" s="34">
        <f t="shared" si="208"/>
        <v>350764.21001131303</v>
      </c>
      <c r="FK16" s="82">
        <f t="shared" si="209"/>
        <v>0</v>
      </c>
      <c r="FL16" s="78" t="s">
        <v>8</v>
      </c>
      <c r="FM16" s="30" t="s">
        <v>8</v>
      </c>
      <c r="FN16" s="35">
        <f t="shared" si="210"/>
        <v>0.81304311327529732</v>
      </c>
      <c r="FO16" s="33">
        <f t="shared" si="211"/>
        <v>2.2955018777883751E-2</v>
      </c>
      <c r="FP16" s="34">
        <f t="shared" si="212"/>
        <v>350764.21001131303</v>
      </c>
      <c r="FQ16" s="82">
        <f t="shared" si="213"/>
        <v>0</v>
      </c>
      <c r="FR16" s="78" t="s">
        <v>8</v>
      </c>
      <c r="FS16" s="30" t="s">
        <v>8</v>
      </c>
      <c r="FT16" s="35">
        <f t="shared" si="214"/>
        <v>0.81304311327529732</v>
      </c>
      <c r="FU16" s="33">
        <f t="shared" si="215"/>
        <v>2.2955018777883751E-2</v>
      </c>
      <c r="FV16" s="34">
        <f t="shared" si="216"/>
        <v>350764.21001131303</v>
      </c>
      <c r="FW16" s="82">
        <f t="shared" si="217"/>
        <v>0</v>
      </c>
      <c r="FX16" s="78" t="s">
        <v>8</v>
      </c>
      <c r="FY16" s="30" t="s">
        <v>8</v>
      </c>
      <c r="FZ16" s="35">
        <f t="shared" si="218"/>
        <v>0.81304311327529732</v>
      </c>
      <c r="GA16" s="33">
        <f t="shared" si="219"/>
        <v>2.2955018777883751E-2</v>
      </c>
      <c r="GB16" s="34">
        <f t="shared" si="220"/>
        <v>350764.21001131303</v>
      </c>
      <c r="GC16" s="82">
        <f t="shared" si="221"/>
        <v>0</v>
      </c>
      <c r="GD16" s="78" t="s">
        <v>8</v>
      </c>
      <c r="GE16" s="30" t="s">
        <v>8</v>
      </c>
      <c r="GF16" s="35">
        <f t="shared" si="222"/>
        <v>0.81304311327529732</v>
      </c>
      <c r="GG16" s="33">
        <f t="shared" si="223"/>
        <v>2.2955018777883751E-2</v>
      </c>
      <c r="GH16" s="34">
        <f t="shared" si="224"/>
        <v>350764.21001131303</v>
      </c>
      <c r="GI16" s="132">
        <f t="shared" si="225"/>
        <v>0</v>
      </c>
      <c r="GJ16" s="155">
        <f t="shared" si="228"/>
        <v>4677161.1381742908</v>
      </c>
      <c r="GK16" s="101">
        <f t="shared" si="226"/>
        <v>5042959.7519301781</v>
      </c>
      <c r="GL16" s="88">
        <f t="shared" si="227"/>
        <v>0.81304311327529732</v>
      </c>
      <c r="GN16" s="195"/>
    </row>
    <row r="17" spans="1:195" s="29" customFormat="1" ht="16.2" thickBot="1" x14ac:dyDescent="0.35">
      <c r="A17" s="105" t="s">
        <v>6</v>
      </c>
      <c r="B17" s="129">
        <v>25772290</v>
      </c>
      <c r="C17" s="127">
        <v>15</v>
      </c>
      <c r="D17" s="83">
        <f>B17*C17/100</f>
        <v>3865843.5</v>
      </c>
      <c r="E17" s="112">
        <f>100-C17</f>
        <v>85</v>
      </c>
      <c r="F17" s="83">
        <f>B17-D17</f>
        <v>21906446.5</v>
      </c>
      <c r="G17" s="111">
        <f>SUM(G9:G16)</f>
        <v>25480</v>
      </c>
      <c r="H17" s="111">
        <f>SUM(H9:H16)</f>
        <v>35297241</v>
      </c>
      <c r="I17" s="47" t="s">
        <v>8</v>
      </c>
      <c r="J17" s="162">
        <f>H17/G17</f>
        <v>1385.292032967033</v>
      </c>
      <c r="K17" s="122" t="s">
        <v>8</v>
      </c>
      <c r="L17" s="80">
        <f>SUM(L9:L16)</f>
        <v>3865843.5000000005</v>
      </c>
      <c r="M17" s="76" t="s">
        <v>8</v>
      </c>
      <c r="N17" s="48">
        <f>(SUMIF(M9:M16,"&lt;1")+1)/(COUNTIFS(M9:M16,"&lt;1")+1)</f>
        <v>0.49064880308885633</v>
      </c>
      <c r="O17" s="49" t="s">
        <v>8</v>
      </c>
      <c r="P17" s="46">
        <f>SUM(P9:P16)</f>
        <v>6194952.5405736975</v>
      </c>
      <c r="Q17" s="46">
        <f>SUM(Q9:Q16)</f>
        <v>6194952.5405736975</v>
      </c>
      <c r="R17" s="89">
        <f>F17-Q17</f>
        <v>15711493.959426302</v>
      </c>
      <c r="S17" s="48">
        <f>(SUMIF(T9:T16,"&lt;1")+1)/(COUNTIFS(T9:T16,"&lt;1")+1)</f>
        <v>0.5997293887651477</v>
      </c>
      <c r="T17" s="49" t="s">
        <v>8</v>
      </c>
      <c r="U17" s="49" t="s">
        <v>8</v>
      </c>
      <c r="V17" s="46">
        <f>SUM(V9:V16)</f>
        <v>4627296.8872049833</v>
      </c>
      <c r="W17" s="46">
        <f>SUM(W9:W16)</f>
        <v>4627296.8872049833</v>
      </c>
      <c r="X17" s="89">
        <f>R17-W17</f>
        <v>11084197.07222132</v>
      </c>
      <c r="Y17" s="48">
        <f>(SUMIF(Z9:Z16,"&lt;1")+1)/(COUNTIFS(Z9:Z16,"&lt;1")+1)</f>
        <v>0.67627568058199028</v>
      </c>
      <c r="Z17" s="49" t="s">
        <v>8</v>
      </c>
      <c r="AA17" s="49" t="s">
        <v>8</v>
      </c>
      <c r="AB17" s="46">
        <f>SUM(AB9:AB16)</f>
        <v>3419287.1357932361</v>
      </c>
      <c r="AC17" s="46">
        <f>SUM(AC9:AC16)</f>
        <v>3419287.1357932361</v>
      </c>
      <c r="AD17" s="89">
        <f>X17-AC17</f>
        <v>7664909.936428084</v>
      </c>
      <c r="AE17" s="48">
        <f>(SUMIF(AF9:AF16,"&lt;1")+1)/(COUNTIFS(AF9:AF16,"&lt;1")+1)</f>
        <v>0.73357997600359315</v>
      </c>
      <c r="AF17" s="49" t="s">
        <v>8</v>
      </c>
      <c r="AG17" s="49" t="s">
        <v>8</v>
      </c>
      <c r="AH17" s="46">
        <f>SUM(AH9:AH16)</f>
        <v>4023705.9619875196</v>
      </c>
      <c r="AI17" s="46">
        <f>SUM(AI9:AI16)</f>
        <v>4023705.9619875196</v>
      </c>
      <c r="AJ17" s="89">
        <f>AD17-AI17</f>
        <v>3641203.9744405644</v>
      </c>
      <c r="AK17" s="48">
        <f>(SUMIF(AL9:AL16,"&lt;1")+1)/(COUNTIFS(AL9:AL16,"&lt;1")+1)</f>
        <v>0.78396656438197321</v>
      </c>
      <c r="AL17" s="49" t="s">
        <v>8</v>
      </c>
      <c r="AM17" s="49" t="s">
        <v>8</v>
      </c>
      <c r="AN17" s="46">
        <f>SUM(AN9:AN16)</f>
        <v>3022242.7235572692</v>
      </c>
      <c r="AO17" s="46">
        <f>SUM(AO9:AO16)</f>
        <v>3022242.7235572692</v>
      </c>
      <c r="AP17" s="89">
        <f>AJ17-AO17</f>
        <v>618961.2508832952</v>
      </c>
      <c r="AQ17" s="48">
        <f>(SUMIF(AR9:AR16,"&lt;1")+1)/(COUNTIFS(AR9:AR16,"&lt;1")+1)</f>
        <v>0.82790214701408027</v>
      </c>
      <c r="AR17" s="49" t="s">
        <v>8</v>
      </c>
      <c r="AS17" s="49" t="s">
        <v>8</v>
      </c>
      <c r="AT17" s="46">
        <f>SUM(AT9:AT16)</f>
        <v>2816688.8081999421</v>
      </c>
      <c r="AU17" s="83">
        <f>SUM(AU9:AU16)</f>
        <v>618961.2508832952</v>
      </c>
      <c r="AV17" s="89">
        <f>AP17-AU17</f>
        <v>0</v>
      </c>
      <c r="AW17" s="48">
        <f>(SUMIF(AX9:AX16,"&lt;1")+1)/(COUNTIFS(AX9:AX16,"&lt;1")+1)</f>
        <v>0.83599813205318108</v>
      </c>
      <c r="AX17" s="49" t="s">
        <v>8</v>
      </c>
      <c r="AY17" s="49" t="s">
        <v>8</v>
      </c>
      <c r="AZ17" s="46">
        <f>SUM(AZ9:AZ16)</f>
        <v>2670292.8093109247</v>
      </c>
      <c r="BA17" s="46">
        <f>SUM(BA9:BA16)</f>
        <v>0</v>
      </c>
      <c r="BB17" s="89">
        <f>AV17-BA17</f>
        <v>0</v>
      </c>
      <c r="BC17" s="48">
        <f>(SUMIF(BD9:BD16,"&lt;1")+1)/(COUNTIFS(BD9:BD16,"&lt;1")+1)</f>
        <v>0.83599813205318108</v>
      </c>
      <c r="BD17" s="49" t="s">
        <v>8</v>
      </c>
      <c r="BE17" s="49" t="s">
        <v>8</v>
      </c>
      <c r="BF17" s="46">
        <f>SUM(BF9:BF16)</f>
        <v>2670292.8093109247</v>
      </c>
      <c r="BG17" s="46">
        <f>SUM(BG9:BG16)</f>
        <v>0</v>
      </c>
      <c r="BH17" s="89">
        <f>BB17-BG17</f>
        <v>0</v>
      </c>
      <c r="BI17" s="48">
        <f>(SUMIF(BJ9:BJ16,"&lt;1")+1)/(COUNTIFS(BJ9:BJ16,"&lt;1")+1)</f>
        <v>0.83599813205318108</v>
      </c>
      <c r="BJ17" s="49" t="s">
        <v>8</v>
      </c>
      <c r="BK17" s="49" t="s">
        <v>8</v>
      </c>
      <c r="BL17" s="46">
        <f>SUM(BL9:BL16)</f>
        <v>2670292.8093109247</v>
      </c>
      <c r="BM17" s="46">
        <f>SUM(BM9:BM16)</f>
        <v>0</v>
      </c>
      <c r="BN17" s="89">
        <f>BH17-BM17</f>
        <v>0</v>
      </c>
      <c r="BO17" s="48">
        <f>(SUMIF(BP9:BP16,"&lt;1")+1)/(COUNTIFS(BP9:BP16,"&lt;1")+1)</f>
        <v>0.83599813205318108</v>
      </c>
      <c r="BP17" s="49" t="s">
        <v>8</v>
      </c>
      <c r="BQ17" s="49" t="s">
        <v>8</v>
      </c>
      <c r="BR17" s="46">
        <f>SUM(BR9:BR16)</f>
        <v>2670292.8093109247</v>
      </c>
      <c r="BS17" s="46">
        <f>SUM(BS9:BS16)</f>
        <v>0</v>
      </c>
      <c r="BT17" s="89">
        <f>BN17-BS17</f>
        <v>0</v>
      </c>
      <c r="BU17" s="48">
        <f>(SUMIF(BV9:BV16,"&lt;1")+1)/(COUNTIFS(BV9:BV16,"&lt;1")+1)</f>
        <v>0.83599813205318108</v>
      </c>
      <c r="BV17" s="49" t="s">
        <v>8</v>
      </c>
      <c r="BW17" s="49" t="s">
        <v>8</v>
      </c>
      <c r="BX17" s="46">
        <f>SUM(BX9:BX16)</f>
        <v>2670292.8093109247</v>
      </c>
      <c r="BY17" s="46">
        <f>SUM(BY9:BY16)</f>
        <v>0</v>
      </c>
      <c r="BZ17" s="89">
        <f>BT17-BY17</f>
        <v>0</v>
      </c>
      <c r="CA17" s="48">
        <f>(SUMIF(CB9:CB16,"&lt;1")+1)/(COUNTIFS(CB9:CB16,"&lt;1")+1)</f>
        <v>0.83599813205318108</v>
      </c>
      <c r="CB17" s="49" t="s">
        <v>8</v>
      </c>
      <c r="CC17" s="49" t="s">
        <v>8</v>
      </c>
      <c r="CD17" s="46">
        <f>SUM(CD9:CD16)</f>
        <v>2670292.8093109247</v>
      </c>
      <c r="CE17" s="46">
        <f>SUM(CE9:CE16)</f>
        <v>0</v>
      </c>
      <c r="CF17" s="89">
        <f>BZ17-CE17</f>
        <v>0</v>
      </c>
      <c r="CG17" s="48">
        <f>(SUMIF(CH9:CH16,"&lt;1")+1)/(COUNTIFS(CH9:CH16,"&lt;1")+1)</f>
        <v>0.83599813205318108</v>
      </c>
      <c r="CH17" s="49" t="s">
        <v>8</v>
      </c>
      <c r="CI17" s="49" t="s">
        <v>8</v>
      </c>
      <c r="CJ17" s="46">
        <f>SUM(CJ9:CJ16)</f>
        <v>2670292.8093109247</v>
      </c>
      <c r="CK17" s="46">
        <f>SUM(CK9:CK16)</f>
        <v>0</v>
      </c>
      <c r="CL17" s="89">
        <f>CF17-CK17</f>
        <v>0</v>
      </c>
      <c r="CM17" s="48">
        <f>(SUMIF(CN9:CN16,"&lt;1")+1)/(COUNTIFS(CN9:CN16,"&lt;1")+1)</f>
        <v>0.83599813205318108</v>
      </c>
      <c r="CN17" s="49" t="s">
        <v>8</v>
      </c>
      <c r="CO17" s="49" t="s">
        <v>8</v>
      </c>
      <c r="CP17" s="46">
        <f>SUM(CP9:CP16)</f>
        <v>2670292.8093109247</v>
      </c>
      <c r="CQ17" s="46">
        <f>SUM(CQ9:CQ16)</f>
        <v>0</v>
      </c>
      <c r="CR17" s="89">
        <f>CL17-CQ17</f>
        <v>0</v>
      </c>
      <c r="CS17" s="48">
        <f>(SUMIF(CT9:CT16,"&lt;1")+1)/(COUNTIFS(CT9:CT16,"&lt;1")+1)</f>
        <v>0.83599813205318108</v>
      </c>
      <c r="CT17" s="49" t="s">
        <v>8</v>
      </c>
      <c r="CU17" s="49" t="s">
        <v>8</v>
      </c>
      <c r="CV17" s="46">
        <f>SUM(CV9:CV16)</f>
        <v>2670292.8093109247</v>
      </c>
      <c r="CW17" s="46">
        <f>SUM(CW9:CW16)</f>
        <v>0</v>
      </c>
      <c r="CX17" s="89">
        <f>CR17-CW17</f>
        <v>0</v>
      </c>
      <c r="CY17" s="48">
        <f>(SUMIF(CZ9:CZ16,"&lt;1")+1)/(COUNTIFS(CZ9:CZ16,"&lt;1")+1)</f>
        <v>0.83599813205318108</v>
      </c>
      <c r="CZ17" s="49" t="s">
        <v>8</v>
      </c>
      <c r="DA17" s="49" t="s">
        <v>8</v>
      </c>
      <c r="DB17" s="46">
        <f>SUM(DB9:DB16)</f>
        <v>2670292.8093109247</v>
      </c>
      <c r="DC17" s="46">
        <f>SUM(DC9:DC16)</f>
        <v>0</v>
      </c>
      <c r="DD17" s="89">
        <f>CX17-DC17</f>
        <v>0</v>
      </c>
      <c r="DE17" s="48">
        <f>(SUMIF(DF9:DF16,"&lt;1")+1)/(COUNTIFS(DF9:DF16,"&lt;1")+1)</f>
        <v>0.83599813205318108</v>
      </c>
      <c r="DF17" s="49" t="s">
        <v>8</v>
      </c>
      <c r="DG17" s="49" t="s">
        <v>8</v>
      </c>
      <c r="DH17" s="46">
        <f>SUM(DH9:DH16)</f>
        <v>2670292.8093109247</v>
      </c>
      <c r="DI17" s="46">
        <f>SUM(DI9:DI16)</f>
        <v>0</v>
      </c>
      <c r="DJ17" s="89">
        <f>DD17-DI17</f>
        <v>0</v>
      </c>
      <c r="DK17" s="48">
        <f>(SUMIF(DL9:DL16,"&lt;1")+1)/(COUNTIFS(DL9:DL16,"&lt;1")+1)</f>
        <v>0.83599813205318108</v>
      </c>
      <c r="DL17" s="49" t="s">
        <v>8</v>
      </c>
      <c r="DM17" s="49" t="s">
        <v>8</v>
      </c>
      <c r="DN17" s="46">
        <f>SUM(DN9:DN16)</f>
        <v>2670292.8093109247</v>
      </c>
      <c r="DO17" s="46">
        <f>SUM(DO9:DO16)</f>
        <v>0</v>
      </c>
      <c r="DP17" s="89">
        <f>DJ17-DO17</f>
        <v>0</v>
      </c>
      <c r="DQ17" s="48">
        <f>(SUMIF(DR9:DR16,"&lt;1")+1)/(COUNTIFS(DR9:DR16,"&lt;1")+1)</f>
        <v>0.83599813205318108</v>
      </c>
      <c r="DR17" s="49" t="s">
        <v>8</v>
      </c>
      <c r="DS17" s="49" t="s">
        <v>8</v>
      </c>
      <c r="DT17" s="46">
        <f>SUM(DT9:DT16)</f>
        <v>2670292.8093109247</v>
      </c>
      <c r="DU17" s="46">
        <f>SUM(DU9:DU16)</f>
        <v>0</v>
      </c>
      <c r="DV17" s="89">
        <f>DP17-DU17</f>
        <v>0</v>
      </c>
      <c r="DW17" s="48">
        <f>(SUMIF(DX9:DX16,"&lt;1")+1)/(COUNTIFS(DX9:DX16,"&lt;1")+1)</f>
        <v>0.83599813205318108</v>
      </c>
      <c r="DX17" s="49" t="s">
        <v>8</v>
      </c>
      <c r="DY17" s="49" t="s">
        <v>8</v>
      </c>
      <c r="DZ17" s="142">
        <f>SUM(DZ9:DZ16)</f>
        <v>2670292.8093109247</v>
      </c>
      <c r="EA17" s="46">
        <f>SUM(EA9:EA16)</f>
        <v>0</v>
      </c>
      <c r="EB17" s="89">
        <f>DV17-EA17</f>
        <v>0</v>
      </c>
      <c r="EC17" s="48">
        <f>(SUMIF(ED9:ED16,"&lt;1")+1)/(COUNTIFS(ED9:ED16,"&lt;1")+1)</f>
        <v>0.83599813205318108</v>
      </c>
      <c r="ED17" s="49" t="s">
        <v>8</v>
      </c>
      <c r="EE17" s="49" t="s">
        <v>8</v>
      </c>
      <c r="EF17" s="142">
        <f>SUM(EF9:EF16)</f>
        <v>2670292.8093109247</v>
      </c>
      <c r="EG17" s="46">
        <f>SUM(EG9:EG16)</f>
        <v>0</v>
      </c>
      <c r="EH17" s="89">
        <f>EB17-EG17</f>
        <v>0</v>
      </c>
      <c r="EI17" s="48">
        <f>(SUMIF(EJ9:EJ16,"&lt;1")+1)/(COUNTIFS(EJ9:EJ16,"&lt;1")+1)</f>
        <v>0.83599813205318108</v>
      </c>
      <c r="EJ17" s="49" t="s">
        <v>8</v>
      </c>
      <c r="EK17" s="49" t="s">
        <v>8</v>
      </c>
      <c r="EL17" s="142">
        <f>SUM(EL9:EL16)</f>
        <v>2670292.8093109247</v>
      </c>
      <c r="EM17" s="46">
        <f>SUM(EM9:EM16)</f>
        <v>0</v>
      </c>
      <c r="EN17" s="89">
        <f>EH17-EM17</f>
        <v>0</v>
      </c>
      <c r="EO17" s="48">
        <f>(SUMIF(EP9:EP16,"&lt;1")+1)/(COUNTIFS(EP9:EP16,"&lt;1")+1)</f>
        <v>0.83599813205318108</v>
      </c>
      <c r="EP17" s="49" t="s">
        <v>8</v>
      </c>
      <c r="EQ17" s="49" t="s">
        <v>8</v>
      </c>
      <c r="ER17" s="142">
        <f>SUM(ER9:ER16)</f>
        <v>2670292.8093109247</v>
      </c>
      <c r="ES17" s="46">
        <f>SUM(ES9:ES16)</f>
        <v>0</v>
      </c>
      <c r="ET17" s="89">
        <f>EN17-ES17</f>
        <v>0</v>
      </c>
      <c r="EU17" s="48">
        <f>(SUMIF(EV9:EV16,"&lt;1")+1)/(COUNTIFS(EV9:EV16,"&lt;1")+1)</f>
        <v>0.83599813205318108</v>
      </c>
      <c r="EV17" s="49" t="s">
        <v>8</v>
      </c>
      <c r="EW17" s="49" t="s">
        <v>8</v>
      </c>
      <c r="EX17" s="142">
        <f>SUM(EX9:EX16)</f>
        <v>2670292.8093109247</v>
      </c>
      <c r="EY17" s="46">
        <f>SUM(EY9:EY16)</f>
        <v>0</v>
      </c>
      <c r="EZ17" s="89">
        <f>ET17-EY17</f>
        <v>0</v>
      </c>
      <c r="FA17" s="48">
        <f>(SUMIF(FB9:FB16,"&lt;1")+1)/(COUNTIFS(FB9:FB16,"&lt;1")+1)</f>
        <v>0.83599813205318108</v>
      </c>
      <c r="FB17" s="49" t="s">
        <v>8</v>
      </c>
      <c r="FC17" s="49" t="s">
        <v>8</v>
      </c>
      <c r="FD17" s="142">
        <f>SUM(FD9:FD16)</f>
        <v>2670292.8093109247</v>
      </c>
      <c r="FE17" s="46">
        <f>SUM(FE9:FE16)</f>
        <v>0</v>
      </c>
      <c r="FF17" s="89">
        <f>EZ17-FE17</f>
        <v>0</v>
      </c>
      <c r="FG17" s="48">
        <f>(SUMIF(FH9:FH16,"&lt;1")+1)/(COUNTIFS(FH9:FH16,"&lt;1")+1)</f>
        <v>0.83599813205318108</v>
      </c>
      <c r="FH17" s="49" t="s">
        <v>8</v>
      </c>
      <c r="FI17" s="49" t="s">
        <v>8</v>
      </c>
      <c r="FJ17" s="142">
        <f>SUM(FJ9:FJ16)</f>
        <v>2670292.8093109247</v>
      </c>
      <c r="FK17" s="46">
        <f>SUM(FK9:FK16)</f>
        <v>0</v>
      </c>
      <c r="FL17" s="89">
        <f>FF17-FK17</f>
        <v>0</v>
      </c>
      <c r="FM17" s="48">
        <f>(SUMIF(FN9:FN16,"&lt;1")+1)/(COUNTIFS(FN9:FN16,"&lt;1")+1)</f>
        <v>0.83599813205318108</v>
      </c>
      <c r="FN17" s="49" t="s">
        <v>8</v>
      </c>
      <c r="FO17" s="49" t="s">
        <v>8</v>
      </c>
      <c r="FP17" s="142">
        <f>SUM(FP9:FP16)</f>
        <v>2670292.8093109247</v>
      </c>
      <c r="FQ17" s="46">
        <f>SUM(FQ9:FQ16)</f>
        <v>0</v>
      </c>
      <c r="FR17" s="89">
        <f>FL17-FQ17</f>
        <v>0</v>
      </c>
      <c r="FS17" s="48">
        <f>(SUMIF(FT9:FT16,"&lt;1")+1)/(COUNTIFS(FT9:FT16,"&lt;1")+1)</f>
        <v>0.83599813205318108</v>
      </c>
      <c r="FT17" s="49" t="s">
        <v>8</v>
      </c>
      <c r="FU17" s="49" t="s">
        <v>8</v>
      </c>
      <c r="FV17" s="142">
        <f>SUM(FV9:FV16)</f>
        <v>2670292.8093109247</v>
      </c>
      <c r="FW17" s="46">
        <f>SUM(FW9:FW16)</f>
        <v>0</v>
      </c>
      <c r="FX17" s="89">
        <f>FR17-FW17</f>
        <v>0</v>
      </c>
      <c r="FY17" s="48">
        <f>(SUMIF(FZ9:FZ16,"&lt;1")+1)/(COUNTIFS(FZ9:FZ16,"&lt;1")+1)</f>
        <v>0.83599813205318108</v>
      </c>
      <c r="FZ17" s="49" t="s">
        <v>8</v>
      </c>
      <c r="GA17" s="49" t="s">
        <v>8</v>
      </c>
      <c r="GB17" s="142">
        <f>SUM(GB9:GB16)</f>
        <v>2670292.8093109247</v>
      </c>
      <c r="GC17" s="46">
        <f>SUM(GC9:GC16)</f>
        <v>0</v>
      </c>
      <c r="GD17" s="89">
        <f>FX17-GC17</f>
        <v>0</v>
      </c>
      <c r="GE17" s="48">
        <f>(SUMIF(GF9:GF16,"&lt;1")+1)/(COUNTIFS(GF9:GF16,"&lt;1")+1)</f>
        <v>0.83599813205318108</v>
      </c>
      <c r="GF17" s="49" t="s">
        <v>8</v>
      </c>
      <c r="GG17" s="49" t="s">
        <v>8</v>
      </c>
      <c r="GH17" s="142">
        <f>SUM(GH9:GH16)</f>
        <v>2670292.8093109247</v>
      </c>
      <c r="GI17" s="46">
        <f>SUM(GI9:GI16)</f>
        <v>0</v>
      </c>
      <c r="GJ17" s="168">
        <f>SUM(GJ9:GJ16)</f>
        <v>21906446.500000004</v>
      </c>
      <c r="GK17" s="170">
        <f t="shared" si="226"/>
        <v>25772290.000000004</v>
      </c>
      <c r="GL17" s="171" t="s">
        <v>8</v>
      </c>
      <c r="GM17" s="25"/>
    </row>
    <row r="19" spans="1:195" x14ac:dyDescent="0.25">
      <c r="P19" s="24"/>
    </row>
    <row r="22" spans="1:195" x14ac:dyDescent="0.25">
      <c r="M22" s="23"/>
    </row>
    <row r="75" spans="192:196" x14ac:dyDescent="0.25">
      <c r="GJ75" s="133"/>
      <c r="GK75" s="133"/>
      <c r="GL75" s="133"/>
      <c r="GM75" s="133"/>
      <c r="GN75" s="133"/>
    </row>
  </sheetData>
  <protectedRanges>
    <protectedRange sqref="A9:A16" name="Диапазон3_1"/>
    <protectedRange sqref="A9:A16" name="Диапазон2_1"/>
  </protectedRanges>
  <mergeCells count="48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дотации2024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дотации2024'!Z_287B6B75_F102_4A35_99B4_72102AA4A344__wvu_PrintTitles</vt:lpstr>
      <vt:lpstr>'Исходные данные'!Заголовки_для_печати</vt:lpstr>
      <vt:lpstr>'Расчет дотации2024'!Заголовки_для_печати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Янина</cp:lastModifiedBy>
  <cp:lastPrinted>2021-11-10T11:02:22Z</cp:lastPrinted>
  <dcterms:created xsi:type="dcterms:W3CDTF">2013-11-15T09:40:24Z</dcterms:created>
  <dcterms:modified xsi:type="dcterms:W3CDTF">2021-11-10T11:02:33Z</dcterms:modified>
</cp:coreProperties>
</file>